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45" yWindow="-165" windowWidth="13980" windowHeight="8055" activeTab="2"/>
  </bookViews>
  <sheets>
    <sheet name="Cブロック日程表（結果）" sheetId="17" r:id="rId1"/>
    <sheet name="Cブロック日程一覧" sheetId="16" r:id="rId2"/>
    <sheet name="Cブロック星取り表（結果）" sheetId="22" r:id="rId3"/>
    <sheet name="日程変更願い" sheetId="19" r:id="rId4"/>
    <sheet name="karakuri" sheetId="14" state="hidden" r:id="rId5"/>
    <sheet name="変更要点" sheetId="23" r:id="rId6"/>
  </sheets>
  <definedNames>
    <definedName name="_xlnm._FilterDatabase" localSheetId="0" hidden="1">'Cブロック日程表（結果）'!$A$67:$A$147</definedName>
    <definedName name="_xlnm.Print_Area" localSheetId="2">'Cブロック星取り表（結果）'!$A$1:$AQ$23</definedName>
    <definedName name="_xlnm.Print_Area" localSheetId="1">Cブロック日程一覧!$A$1:$AF$43</definedName>
    <definedName name="_xlnm.Print_Area" localSheetId="0">'Cブロック日程表（結果）'!$A$1:$AH$51</definedName>
    <definedName name="_xlnm.Print_Titles" localSheetId="0">'Cブロック日程表（結果）'!$1:$2</definedName>
  </definedNames>
  <calcPr calcId="124519"/>
</workbook>
</file>

<file path=xl/calcChain.xml><?xml version="1.0" encoding="utf-8"?>
<calcChain xmlns="http://schemas.openxmlformats.org/spreadsheetml/2006/main">
  <c r="X57" i="17"/>
  <c r="X58"/>
  <c r="X59"/>
  <c r="X60"/>
  <c r="X61"/>
  <c r="X62"/>
  <c r="X63"/>
  <c r="X64"/>
  <c r="X65"/>
  <c r="X56"/>
  <c r="U46"/>
  <c r="C46"/>
  <c r="E46"/>
  <c r="C47"/>
  <c r="E47"/>
  <c r="X31" l="1"/>
  <c r="Z31" s="1"/>
  <c r="AB31"/>
  <c r="AC31"/>
  <c r="AE31" s="1"/>
  <c r="X32"/>
  <c r="Z32" s="1"/>
  <c r="AC32"/>
  <c r="AE32"/>
  <c r="AG32"/>
  <c r="X46"/>
  <c r="X47"/>
  <c r="X33"/>
  <c r="X34"/>
  <c r="X35"/>
  <c r="X36"/>
  <c r="X37"/>
  <c r="X38"/>
  <c r="C40"/>
  <c r="S40" s="1"/>
  <c r="E40"/>
  <c r="J40"/>
  <c r="N40"/>
  <c r="R40"/>
  <c r="T40"/>
  <c r="U40"/>
  <c r="V40"/>
  <c r="W40"/>
  <c r="X40"/>
  <c r="Z40" s="1"/>
  <c r="AB40"/>
  <c r="AC40"/>
  <c r="AE40" s="1"/>
  <c r="C41"/>
  <c r="E41"/>
  <c r="J41"/>
  <c r="N41"/>
  <c r="T41"/>
  <c r="U41"/>
  <c r="V41"/>
  <c r="W41"/>
  <c r="X41"/>
  <c r="Z41" s="1"/>
  <c r="AC41"/>
  <c r="AE41" s="1"/>
  <c r="C42"/>
  <c r="E42"/>
  <c r="J42"/>
  <c r="N42"/>
  <c r="T42"/>
  <c r="U42"/>
  <c r="V42"/>
  <c r="W42"/>
  <c r="X42"/>
  <c r="Z42" s="1"/>
  <c r="AC42"/>
  <c r="AE42" s="1"/>
  <c r="C43"/>
  <c r="E43"/>
  <c r="S43" s="1"/>
  <c r="J43"/>
  <c r="N43"/>
  <c r="T43"/>
  <c r="U43"/>
  <c r="V43"/>
  <c r="W43"/>
  <c r="X43"/>
  <c r="Z43" s="1"/>
  <c r="AB43"/>
  <c r="AC43"/>
  <c r="AE43" s="1"/>
  <c r="C39"/>
  <c r="E39"/>
  <c r="AG31" l="1"/>
  <c r="AB32"/>
  <c r="AB41"/>
  <c r="S41"/>
  <c r="AB42"/>
  <c r="S42"/>
  <c r="AG43"/>
  <c r="R43"/>
  <c r="AG42"/>
  <c r="R42"/>
  <c r="AG41"/>
  <c r="R41"/>
  <c r="AG40"/>
  <c r="C17"/>
  <c r="E17"/>
  <c r="J17"/>
  <c r="N17"/>
  <c r="T17"/>
  <c r="U17"/>
  <c r="V17"/>
  <c r="W17"/>
  <c r="X17"/>
  <c r="Z17" s="1"/>
  <c r="AC17"/>
  <c r="AE17" s="1"/>
  <c r="C18"/>
  <c r="E18"/>
  <c r="S18" s="1"/>
  <c r="J18"/>
  <c r="N18"/>
  <c r="T18"/>
  <c r="U18"/>
  <c r="V18"/>
  <c r="W18"/>
  <c r="X18"/>
  <c r="AB18" s="1"/>
  <c r="AC18"/>
  <c r="AE18" s="1"/>
  <c r="AB17" l="1"/>
  <c r="Z18"/>
  <c r="S17"/>
  <c r="AG18"/>
  <c r="R18"/>
  <c r="AG17"/>
  <c r="R17"/>
  <c r="C35"/>
  <c r="E35"/>
  <c r="R35" s="1"/>
  <c r="E36"/>
  <c r="C36"/>
  <c r="C34"/>
  <c r="E34"/>
  <c r="S34" s="1"/>
  <c r="AJ7" i="16" s="1"/>
  <c r="C33" i="17"/>
  <c r="E33"/>
  <c r="C30"/>
  <c r="E25"/>
  <c r="J21"/>
  <c r="J33"/>
  <c r="J25"/>
  <c r="J38"/>
  <c r="J15"/>
  <c r="J12"/>
  <c r="J47"/>
  <c r="J13"/>
  <c r="J46"/>
  <c r="J9"/>
  <c r="J36"/>
  <c r="J10"/>
  <c r="J28"/>
  <c r="X28" s="1"/>
  <c r="J6"/>
  <c r="J27"/>
  <c r="X27" s="1"/>
  <c r="J16"/>
  <c r="J34"/>
  <c r="J14"/>
  <c r="J11"/>
  <c r="X11" s="1"/>
  <c r="J37"/>
  <c r="J7"/>
  <c r="X7" s="1"/>
  <c r="J22"/>
  <c r="J30"/>
  <c r="X30" s="1"/>
  <c r="J4"/>
  <c r="J3"/>
  <c r="J5"/>
  <c r="J19"/>
  <c r="X19" s="1"/>
  <c r="J8"/>
  <c r="J35"/>
  <c r="J23"/>
  <c r="J32"/>
  <c r="J31"/>
  <c r="J29"/>
  <c r="J24"/>
  <c r="J44"/>
  <c r="X44" s="1"/>
  <c r="J20"/>
  <c r="J45"/>
  <c r="J26"/>
  <c r="X26" s="1"/>
  <c r="J39"/>
  <c r="N21"/>
  <c r="N33"/>
  <c r="N25"/>
  <c r="N38"/>
  <c r="N15"/>
  <c r="N12"/>
  <c r="N47"/>
  <c r="N13"/>
  <c r="N46"/>
  <c r="AC46" s="1"/>
  <c r="N9"/>
  <c r="N36"/>
  <c r="AC36" s="1"/>
  <c r="N10"/>
  <c r="N28"/>
  <c r="N6"/>
  <c r="AC6" s="1"/>
  <c r="N27"/>
  <c r="N16"/>
  <c r="N34"/>
  <c r="N14"/>
  <c r="N11"/>
  <c r="N37"/>
  <c r="AC37" s="1"/>
  <c r="N7"/>
  <c r="N22"/>
  <c r="N30"/>
  <c r="N4"/>
  <c r="N3"/>
  <c r="N5"/>
  <c r="AC5" s="1"/>
  <c r="N19"/>
  <c r="N8"/>
  <c r="AC8" s="1"/>
  <c r="AE8" s="1"/>
  <c r="N35"/>
  <c r="N23"/>
  <c r="AC23" s="1"/>
  <c r="N32"/>
  <c r="N31"/>
  <c r="N29"/>
  <c r="N24"/>
  <c r="AC24" s="1"/>
  <c r="N44"/>
  <c r="N20"/>
  <c r="N45"/>
  <c r="AC45" s="1"/>
  <c r="N26"/>
  <c r="N39"/>
  <c r="AI1" i="22"/>
  <c r="AL1" s="1"/>
  <c r="E31" i="17"/>
  <c r="R31" s="1"/>
  <c r="C31"/>
  <c r="S1" i="16"/>
  <c r="AC33" i="17"/>
  <c r="AI55"/>
  <c r="AM55"/>
  <c r="AI56"/>
  <c r="AM56"/>
  <c r="AJ55"/>
  <c r="AJ56"/>
  <c r="AI57"/>
  <c r="AJ57"/>
  <c r="AI58"/>
  <c r="AJ58"/>
  <c r="AM57"/>
  <c r="AM58"/>
  <c r="AI61"/>
  <c r="AJ61"/>
  <c r="AI62"/>
  <c r="AJ62"/>
  <c r="AI63"/>
  <c r="AJ63"/>
  <c r="AI64"/>
  <c r="AJ64"/>
  <c r="AI65"/>
  <c r="AJ65"/>
  <c r="AI66"/>
  <c r="AJ66"/>
  <c r="AM61"/>
  <c r="AM62"/>
  <c r="AM63"/>
  <c r="AM64"/>
  <c r="AM65"/>
  <c r="AM66"/>
  <c r="AC15"/>
  <c r="AC12"/>
  <c r="AC7"/>
  <c r="AC9"/>
  <c r="AC10"/>
  <c r="AG10" s="1"/>
  <c r="AC28"/>
  <c r="AC16"/>
  <c r="AG16" s="1"/>
  <c r="AC34"/>
  <c r="AE34" s="1"/>
  <c r="AC11"/>
  <c r="AC30"/>
  <c r="AG30" s="1"/>
  <c r="AC4"/>
  <c r="AE4" s="1"/>
  <c r="AC3"/>
  <c r="AC19"/>
  <c r="AC44"/>
  <c r="AI69"/>
  <c r="AJ69"/>
  <c r="AM69"/>
  <c r="AC20"/>
  <c r="AE20" s="1"/>
  <c r="AC26"/>
  <c r="AI70"/>
  <c r="AM70"/>
  <c r="AC21"/>
  <c r="AI71"/>
  <c r="AM71" s="1"/>
  <c r="AI72"/>
  <c r="AM72" s="1"/>
  <c r="X25"/>
  <c r="AI73"/>
  <c r="AM73"/>
  <c r="X15"/>
  <c r="X12"/>
  <c r="X13"/>
  <c r="Z13" s="1"/>
  <c r="X9"/>
  <c r="Z9" s="1"/>
  <c r="AI74"/>
  <c r="AM74" s="1"/>
  <c r="X6"/>
  <c r="X16"/>
  <c r="X14"/>
  <c r="X3"/>
  <c r="X8"/>
  <c r="X23"/>
  <c r="Z23" s="1"/>
  <c r="X20"/>
  <c r="AB20" s="1"/>
  <c r="X21"/>
  <c r="AJ70"/>
  <c r="AJ71"/>
  <c r="AJ73"/>
  <c r="AI59"/>
  <c r="AJ59" s="1"/>
  <c r="AI60"/>
  <c r="AJ60" s="1"/>
  <c r="AI67"/>
  <c r="AJ67" s="1"/>
  <c r="AI68"/>
  <c r="AJ68" s="1"/>
  <c r="C7"/>
  <c r="S7" s="1"/>
  <c r="AJ25" i="16" s="1"/>
  <c r="C32" i="17"/>
  <c r="E32"/>
  <c r="C21"/>
  <c r="E21"/>
  <c r="AM67"/>
  <c r="AM59"/>
  <c r="C20"/>
  <c r="C4"/>
  <c r="E20"/>
  <c r="E4"/>
  <c r="T27"/>
  <c r="U27"/>
  <c r="V27"/>
  <c r="W27"/>
  <c r="T19"/>
  <c r="U19"/>
  <c r="V19"/>
  <c r="W19"/>
  <c r="T11"/>
  <c r="U11"/>
  <c r="V11"/>
  <c r="W11"/>
  <c r="T7"/>
  <c r="U7"/>
  <c r="V7"/>
  <c r="W7"/>
  <c r="T33"/>
  <c r="U33"/>
  <c r="V33"/>
  <c r="W33"/>
  <c r="T9"/>
  <c r="W9"/>
  <c r="T16"/>
  <c r="U16"/>
  <c r="V16"/>
  <c r="W16"/>
  <c r="T21"/>
  <c r="U21"/>
  <c r="V21"/>
  <c r="W21"/>
  <c r="T6"/>
  <c r="U6"/>
  <c r="V6"/>
  <c r="W6"/>
  <c r="T32"/>
  <c r="U32"/>
  <c r="V32"/>
  <c r="W32"/>
  <c r="T29"/>
  <c r="U29"/>
  <c r="V29"/>
  <c r="W29"/>
  <c r="T34"/>
  <c r="U34"/>
  <c r="V34"/>
  <c r="W34"/>
  <c r="T3"/>
  <c r="U3"/>
  <c r="V3"/>
  <c r="W3"/>
  <c r="T36"/>
  <c r="W36"/>
  <c r="T10"/>
  <c r="W10"/>
  <c r="T5"/>
  <c r="U5"/>
  <c r="V5"/>
  <c r="W5"/>
  <c r="T46"/>
  <c r="V46"/>
  <c r="W46"/>
  <c r="T44"/>
  <c r="U44"/>
  <c r="V44"/>
  <c r="W44"/>
  <c r="T15"/>
  <c r="U15"/>
  <c r="V15"/>
  <c r="W15"/>
  <c r="T24"/>
  <c r="U24"/>
  <c r="V24"/>
  <c r="W24"/>
  <c r="T30"/>
  <c r="U30"/>
  <c r="V30"/>
  <c r="W30"/>
  <c r="T8"/>
  <c r="U8"/>
  <c r="V8"/>
  <c r="W8"/>
  <c r="T20"/>
  <c r="U20"/>
  <c r="V20"/>
  <c r="W20"/>
  <c r="T38"/>
  <c r="U38"/>
  <c r="V38"/>
  <c r="W38"/>
  <c r="T47"/>
  <c r="U47"/>
  <c r="V47"/>
  <c r="W47"/>
  <c r="T28"/>
  <c r="U28"/>
  <c r="V28"/>
  <c r="W28"/>
  <c r="T35"/>
  <c r="U35"/>
  <c r="V35"/>
  <c r="W35"/>
  <c r="T23"/>
  <c r="U23"/>
  <c r="V23"/>
  <c r="W23"/>
  <c r="T31"/>
  <c r="U31"/>
  <c r="V31"/>
  <c r="W31"/>
  <c r="T12"/>
  <c r="U12"/>
  <c r="V12"/>
  <c r="W12"/>
  <c r="T37"/>
  <c r="U37"/>
  <c r="V37"/>
  <c r="W37"/>
  <c r="T4"/>
  <c r="U4"/>
  <c r="V4"/>
  <c r="W4"/>
  <c r="T22"/>
  <c r="U22"/>
  <c r="V22"/>
  <c r="W22"/>
  <c r="T45"/>
  <c r="W45"/>
  <c r="T26"/>
  <c r="W26"/>
  <c r="T14"/>
  <c r="U14"/>
  <c r="V14"/>
  <c r="W14"/>
  <c r="T39"/>
  <c r="U39"/>
  <c r="V39"/>
  <c r="W39"/>
  <c r="T13"/>
  <c r="U13"/>
  <c r="V13"/>
  <c r="W13"/>
  <c r="T25"/>
  <c r="U25"/>
  <c r="V25"/>
  <c r="W25"/>
  <c r="C27"/>
  <c r="C19"/>
  <c r="C11"/>
  <c r="C9"/>
  <c r="E9"/>
  <c r="C16"/>
  <c r="C6"/>
  <c r="C29"/>
  <c r="C3"/>
  <c r="C10"/>
  <c r="E10"/>
  <c r="C5"/>
  <c r="E5"/>
  <c r="C44"/>
  <c r="E44"/>
  <c r="C15"/>
  <c r="R15" s="1"/>
  <c r="C24"/>
  <c r="C8"/>
  <c r="E8"/>
  <c r="C38"/>
  <c r="C28"/>
  <c r="E28"/>
  <c r="C23"/>
  <c r="S23" s="1"/>
  <c r="AJ6" i="16" s="1"/>
  <c r="C12" i="17"/>
  <c r="C37"/>
  <c r="E37"/>
  <c r="C22"/>
  <c r="E22"/>
  <c r="C45"/>
  <c r="C26"/>
  <c r="S26" s="1"/>
  <c r="AJ14" i="16" s="1"/>
  <c r="C14" i="17"/>
  <c r="S39"/>
  <c r="AJ12" i="16" s="1"/>
  <c r="C13" i="17"/>
  <c r="C25"/>
  <c r="E27"/>
  <c r="R27" s="1"/>
  <c r="E19"/>
  <c r="E11"/>
  <c r="E7"/>
  <c r="R7" s="1"/>
  <c r="E16"/>
  <c r="E6"/>
  <c r="E29"/>
  <c r="E3"/>
  <c r="S3" s="1"/>
  <c r="AJ44" i="16" s="1"/>
  <c r="S46" i="17"/>
  <c r="AJ13" i="16" s="1"/>
  <c r="E15" i="17"/>
  <c r="E24"/>
  <c r="E30"/>
  <c r="S30" s="1"/>
  <c r="AJ31" i="16" s="1"/>
  <c r="E38" i="17"/>
  <c r="R47"/>
  <c r="E23"/>
  <c r="E12"/>
  <c r="R12" s="1"/>
  <c r="E45"/>
  <c r="E26"/>
  <c r="E14"/>
  <c r="E13"/>
  <c r="AC47"/>
  <c r="AG47" s="1"/>
  <c r="AD20" i="22"/>
  <c r="AC22" s="1"/>
  <c r="AD18"/>
  <c r="Z22" s="1"/>
  <c r="AA18"/>
  <c r="Z20" s="1"/>
  <c r="AD16"/>
  <c r="W22" s="1"/>
  <c r="AA16"/>
  <c r="W20" s="1"/>
  <c r="X16"/>
  <c r="W18" s="1"/>
  <c r="AD14"/>
  <c r="T22" s="1"/>
  <c r="AA14"/>
  <c r="T20" s="1"/>
  <c r="X14"/>
  <c r="T18" s="1"/>
  <c r="U14"/>
  <c r="T16" s="1"/>
  <c r="AD12"/>
  <c r="Q22" s="1"/>
  <c r="AA12"/>
  <c r="Q20" s="1"/>
  <c r="X12"/>
  <c r="Q18" s="1"/>
  <c r="U12"/>
  <c r="Q16" s="1"/>
  <c r="R12"/>
  <c r="Q14" s="1"/>
  <c r="AD10"/>
  <c r="N22" s="1"/>
  <c r="AA10"/>
  <c r="N20" s="1"/>
  <c r="X10"/>
  <c r="N18" s="1"/>
  <c r="U10"/>
  <c r="N16" s="1"/>
  <c r="R10"/>
  <c r="N14" s="1"/>
  <c r="O10"/>
  <c r="N12" s="1"/>
  <c r="AD8"/>
  <c r="K22" s="1"/>
  <c r="AF8"/>
  <c r="I22" s="1"/>
  <c r="AA8"/>
  <c r="K20" s="1"/>
  <c r="X8"/>
  <c r="K18" s="1"/>
  <c r="U8"/>
  <c r="R8"/>
  <c r="K14" s="1"/>
  <c r="O8"/>
  <c r="K12" s="1"/>
  <c r="L8"/>
  <c r="K10" s="1"/>
  <c r="AD6"/>
  <c r="AA6"/>
  <c r="H20" s="1"/>
  <c r="X6"/>
  <c r="U6"/>
  <c r="H16" s="1"/>
  <c r="R6"/>
  <c r="H14" s="1"/>
  <c r="O6"/>
  <c r="H12" s="1"/>
  <c r="L6"/>
  <c r="H10" s="1"/>
  <c r="I6"/>
  <c r="H8" s="1"/>
  <c r="AD4"/>
  <c r="AA4"/>
  <c r="E20" s="1"/>
  <c r="X4"/>
  <c r="E18" s="1"/>
  <c r="U4"/>
  <c r="E16" s="1"/>
  <c r="R4"/>
  <c r="E14" s="1"/>
  <c r="O4"/>
  <c r="E12" s="1"/>
  <c r="L4"/>
  <c r="I4"/>
  <c r="E8" s="1"/>
  <c r="F4"/>
  <c r="AF20"/>
  <c r="AA22" s="1"/>
  <c r="AF18"/>
  <c r="X22" s="1"/>
  <c r="AC18"/>
  <c r="X20" s="1"/>
  <c r="AF16"/>
  <c r="U22" s="1"/>
  <c r="U21" s="1"/>
  <c r="AC16"/>
  <c r="U20" s="1"/>
  <c r="Z16"/>
  <c r="U18" s="1"/>
  <c r="AF14"/>
  <c r="R22" s="1"/>
  <c r="AC14"/>
  <c r="R20" s="1"/>
  <c r="Z14"/>
  <c r="R18" s="1"/>
  <c r="W14"/>
  <c r="R16" s="1"/>
  <c r="AF12"/>
  <c r="O22" s="1"/>
  <c r="AC12"/>
  <c r="O20" s="1"/>
  <c r="Z12"/>
  <c r="O18" s="1"/>
  <c r="W12"/>
  <c r="O16" s="1"/>
  <c r="T12"/>
  <c r="O14" s="1"/>
  <c r="AF10"/>
  <c r="L22" s="1"/>
  <c r="AC10"/>
  <c r="L20" s="1"/>
  <c r="Z10"/>
  <c r="L18" s="1"/>
  <c r="W10"/>
  <c r="L16" s="1"/>
  <c r="T10"/>
  <c r="L14" s="1"/>
  <c r="Q10"/>
  <c r="L12" s="1"/>
  <c r="AC8"/>
  <c r="I20" s="1"/>
  <c r="I19" s="1"/>
  <c r="Z8"/>
  <c r="I18" s="1"/>
  <c r="I17" s="1"/>
  <c r="W8"/>
  <c r="I16" s="1"/>
  <c r="T8"/>
  <c r="I14" s="1"/>
  <c r="I13" s="1"/>
  <c r="Q8"/>
  <c r="I12" s="1"/>
  <c r="I11" s="1"/>
  <c r="N8"/>
  <c r="I10" s="1"/>
  <c r="I9" s="1"/>
  <c r="AF6"/>
  <c r="F22" s="1"/>
  <c r="AC6"/>
  <c r="F20" s="1"/>
  <c r="F19" s="1"/>
  <c r="Z6"/>
  <c r="F18" s="1"/>
  <c r="W6"/>
  <c r="F16" s="1"/>
  <c r="F15" s="1"/>
  <c r="T6"/>
  <c r="F14" s="1"/>
  <c r="F13" s="1"/>
  <c r="Q6"/>
  <c r="F12" s="1"/>
  <c r="N6"/>
  <c r="F10" s="1"/>
  <c r="F9" s="1"/>
  <c r="K6"/>
  <c r="F8" s="1"/>
  <c r="AF4"/>
  <c r="C22" s="1"/>
  <c r="AC4"/>
  <c r="C20" s="1"/>
  <c r="Z4"/>
  <c r="C18" s="1"/>
  <c r="W4"/>
  <c r="C16" s="1"/>
  <c r="C15" s="1"/>
  <c r="T4"/>
  <c r="C14" s="1"/>
  <c r="C13" s="1"/>
  <c r="Q4"/>
  <c r="C12" s="1"/>
  <c r="C11" s="1"/>
  <c r="N4"/>
  <c r="C10" s="1"/>
  <c r="K4"/>
  <c r="C8" s="1"/>
  <c r="C7" s="1"/>
  <c r="H4"/>
  <c r="Q65" i="17"/>
  <c r="Q64"/>
  <c r="Q63"/>
  <c r="Q62"/>
  <c r="Q61"/>
  <c r="Q60"/>
  <c r="Q59"/>
  <c r="Q58"/>
  <c r="Q57"/>
  <c r="Q56"/>
  <c r="B17" i="22"/>
  <c r="X2" s="1"/>
  <c r="B21"/>
  <c r="AD2" s="1"/>
  <c r="B19"/>
  <c r="AA2" s="1"/>
  <c r="V26" i="17"/>
  <c r="AC29"/>
  <c r="AE29" s="1"/>
  <c r="AC39"/>
  <c r="AC14"/>
  <c r="V36"/>
  <c r="AC35"/>
  <c r="AG35" s="1"/>
  <c r="AC13"/>
  <c r="V45"/>
  <c r="AC27"/>
  <c r="V10"/>
  <c r="AC38"/>
  <c r="AE38" s="1"/>
  <c r="AC22"/>
  <c r="AC25"/>
  <c r="U26"/>
  <c r="X4"/>
  <c r="X29"/>
  <c r="X39"/>
  <c r="Z39" s="1"/>
  <c r="U36"/>
  <c r="X24"/>
  <c r="Z24" s="1"/>
  <c r="X10"/>
  <c r="X45"/>
  <c r="X5"/>
  <c r="Z5" s="1"/>
  <c r="U10"/>
  <c r="U45"/>
  <c r="X22"/>
  <c r="B39" i="16"/>
  <c r="AD2" s="1"/>
  <c r="B35"/>
  <c r="AA2" s="1"/>
  <c r="B15" i="22"/>
  <c r="U2" s="1"/>
  <c r="B13"/>
  <c r="R2" s="1"/>
  <c r="B11"/>
  <c r="O2" s="1"/>
  <c r="B9"/>
  <c r="L2" s="1"/>
  <c r="B7"/>
  <c r="I2" s="1"/>
  <c r="B5"/>
  <c r="F2" s="1"/>
  <c r="B3"/>
  <c r="C2" s="1"/>
  <c r="B31" i="16"/>
  <c r="X2"/>
  <c r="B27"/>
  <c r="U2" s="1"/>
  <c r="B23"/>
  <c r="R2" s="1"/>
  <c r="B19"/>
  <c r="O2" s="1"/>
  <c r="B15"/>
  <c r="L2" s="1"/>
  <c r="B11"/>
  <c r="I2" s="1"/>
  <c r="B7"/>
  <c r="F2"/>
  <c r="B3"/>
  <c r="C2" s="1"/>
  <c r="J4" i="14"/>
  <c r="K4"/>
  <c r="J5"/>
  <c r="K5"/>
  <c r="J6"/>
  <c r="K6"/>
  <c r="J7"/>
  <c r="K7"/>
  <c r="J8"/>
  <c r="K8"/>
  <c r="J9"/>
  <c r="K9"/>
  <c r="J10"/>
  <c r="K10"/>
  <c r="J11"/>
  <c r="K11"/>
  <c r="J12"/>
  <c r="K12"/>
  <c r="J13"/>
  <c r="K13"/>
  <c r="J14"/>
  <c r="K14"/>
  <c r="J15"/>
  <c r="K15"/>
  <c r="AJ32" i="16"/>
  <c r="R39" i="17"/>
  <c r="R19"/>
  <c r="S12"/>
  <c r="AJ9" i="16" s="1"/>
  <c r="AJ45"/>
  <c r="S5" i="17"/>
  <c r="AJ22" i="16" s="1"/>
  <c r="U9" i="17"/>
  <c r="O56"/>
  <c r="O64"/>
  <c r="O62"/>
  <c r="O60"/>
  <c r="O58"/>
  <c r="V9"/>
  <c r="P64"/>
  <c r="P62"/>
  <c r="P60"/>
  <c r="P58"/>
  <c r="P56"/>
  <c r="R46"/>
  <c r="P57"/>
  <c r="P59"/>
  <c r="P61"/>
  <c r="P63"/>
  <c r="P65"/>
  <c r="O57"/>
  <c r="O59"/>
  <c r="O61"/>
  <c r="O63"/>
  <c r="O65"/>
  <c r="AJ20" i="16"/>
  <c r="S47" i="17"/>
  <c r="AJ33" i="16" s="1"/>
  <c r="S4" i="17"/>
  <c r="AJ5" i="16" s="1"/>
  <c r="S14" i="17"/>
  <c r="AJ11" i="16" s="1"/>
  <c r="AJ24"/>
  <c r="R24" i="17"/>
  <c r="R30"/>
  <c r="AB4"/>
  <c r="AG14"/>
  <c r="AE47"/>
  <c r="AE15"/>
  <c r="AE24"/>
  <c r="AE36"/>
  <c r="AE6"/>
  <c r="AE37"/>
  <c r="AE5"/>
  <c r="Z33"/>
  <c r="Z34"/>
  <c r="AE22"/>
  <c r="Z29"/>
  <c r="AE21"/>
  <c r="Z45"/>
  <c r="Z19"/>
  <c r="Z37"/>
  <c r="Z11"/>
  <c r="Z27"/>
  <c r="Z6"/>
  <c r="Z10"/>
  <c r="Z7"/>
  <c r="Z38"/>
  <c r="AE44"/>
  <c r="L15" i="22" l="1"/>
  <c r="X19"/>
  <c r="O17"/>
  <c r="L11"/>
  <c r="R17"/>
  <c r="U19"/>
  <c r="O21"/>
  <c r="X21"/>
  <c r="S31" i="17"/>
  <c r="AJ10" i="16" s="1"/>
  <c r="R6" i="17"/>
  <c r="R36"/>
  <c r="F7" i="22"/>
  <c r="R26" i="17"/>
  <c r="S11"/>
  <c r="AJ34" i="16" s="1"/>
  <c r="R44" i="17"/>
  <c r="O13" i="22"/>
  <c r="R13" i="17"/>
  <c r="S15"/>
  <c r="AJ42" i="16" s="1"/>
  <c r="R33" i="17"/>
  <c r="R34"/>
  <c r="R14"/>
  <c r="R45"/>
  <c r="S35"/>
  <c r="AJ15" i="16" s="1"/>
  <c r="R4" i="17"/>
  <c r="AA7" i="22"/>
  <c r="S13" i="17"/>
  <c r="AJ30" i="16" s="1"/>
  <c r="S45" i="17"/>
  <c r="AJ21" i="16" s="1"/>
  <c r="R22" i="17"/>
  <c r="R8"/>
  <c r="S24"/>
  <c r="AJ23" i="16" s="1"/>
  <c r="R5" i="17"/>
  <c r="R29"/>
  <c r="R16"/>
  <c r="AJ4" i="16"/>
  <c r="R21" i="17"/>
  <c r="R32"/>
  <c r="S20"/>
  <c r="AJ3" i="16" s="1"/>
  <c r="S27" i="17"/>
  <c r="AJ26" i="16" s="1"/>
  <c r="S21" i="17"/>
  <c r="AJ47" i="16" s="1"/>
  <c r="S36" i="17"/>
  <c r="AJ43" i="16" s="1"/>
  <c r="S33" i="17"/>
  <c r="AJ18" i="16" s="1"/>
  <c r="R20" i="17"/>
  <c r="R25"/>
  <c r="R37"/>
  <c r="S28"/>
  <c r="AJ17" i="16" s="1"/>
  <c r="R38" i="17"/>
  <c r="R10"/>
  <c r="R3"/>
  <c r="S6"/>
  <c r="AJ27" i="16" s="1"/>
  <c r="S19" i="17"/>
  <c r="AJ35" i="16" s="1"/>
  <c r="S10" i="17"/>
  <c r="AJ19" i="16" s="1"/>
  <c r="AJ28"/>
  <c r="S32" i="17"/>
  <c r="AJ46" i="16" s="1"/>
  <c r="S38" i="17"/>
  <c r="AJ37" i="16" s="1"/>
  <c r="S25" i="17"/>
  <c r="AJ41" i="16" s="1"/>
  <c r="R28" i="17"/>
  <c r="S16"/>
  <c r="AJ40" i="16" s="1"/>
  <c r="S22" i="17"/>
  <c r="AJ36" i="16" s="1"/>
  <c r="S37" i="17"/>
  <c r="AJ29" i="16" s="1"/>
  <c r="R23" i="17"/>
  <c r="S8"/>
  <c r="AJ39" i="16" s="1"/>
  <c r="S44" i="17"/>
  <c r="AJ38" i="16" s="1"/>
  <c r="S29" i="17"/>
  <c r="AJ8" i="16" s="1"/>
  <c r="S9" i="17"/>
  <c r="AJ16" i="16" s="1"/>
  <c r="R11" i="17"/>
  <c r="X3" i="22"/>
  <c r="AD7"/>
  <c r="I21"/>
  <c r="R15"/>
  <c r="R19"/>
  <c r="F3"/>
  <c r="U9"/>
  <c r="AA21"/>
  <c r="X11"/>
  <c r="L5"/>
  <c r="O19"/>
  <c r="AD19"/>
  <c r="R3"/>
  <c r="R11"/>
  <c r="R5"/>
  <c r="O7"/>
  <c r="AD11"/>
  <c r="L19"/>
  <c r="L21"/>
  <c r="AA11"/>
  <c r="AJ1"/>
  <c r="U17"/>
  <c r="AA9"/>
  <c r="L13"/>
  <c r="L17"/>
  <c r="O15"/>
  <c r="AL7"/>
  <c r="R9"/>
  <c r="R7"/>
  <c r="U13"/>
  <c r="AK15"/>
  <c r="AA5"/>
  <c r="U5"/>
  <c r="U11"/>
  <c r="X15"/>
  <c r="AL19"/>
  <c r="AL11"/>
  <c r="R21"/>
  <c r="O3"/>
  <c r="I5"/>
  <c r="L7"/>
  <c r="AK7"/>
  <c r="AD13"/>
  <c r="AA15"/>
  <c r="U3"/>
  <c r="AD9"/>
  <c r="AA3"/>
  <c r="AD17"/>
  <c r="O5"/>
  <c r="X7"/>
  <c r="O9"/>
  <c r="I3"/>
  <c r="AA17"/>
  <c r="X9"/>
  <c r="AA13"/>
  <c r="X13"/>
  <c r="AD15"/>
  <c r="C19"/>
  <c r="AK19"/>
  <c r="F11"/>
  <c r="AK11"/>
  <c r="AM11" s="1"/>
  <c r="Z4" i="17"/>
  <c r="AE25"/>
  <c r="AE27"/>
  <c r="AE35"/>
  <c r="AE14"/>
  <c r="AE13"/>
  <c r="AE9"/>
  <c r="AE28"/>
  <c r="AE11"/>
  <c r="AE3"/>
  <c r="AE19"/>
  <c r="Z12"/>
  <c r="Z46"/>
  <c r="Z14"/>
  <c r="AE39"/>
  <c r="C17" i="22"/>
  <c r="AK17"/>
  <c r="AE45" i="17"/>
  <c r="Z26"/>
  <c r="Z35"/>
  <c r="Z28"/>
  <c r="AM60"/>
  <c r="AB29" s="1"/>
  <c r="AM68"/>
  <c r="AJ74"/>
  <c r="AJ72"/>
  <c r="P66"/>
  <c r="AB22"/>
  <c r="AB39"/>
  <c r="Q66"/>
  <c r="R9"/>
  <c r="AE46"/>
  <c r="T1" i="16"/>
  <c r="V1"/>
  <c r="O66" i="17"/>
  <c r="C6" i="22"/>
  <c r="AL3"/>
  <c r="AK9"/>
  <c r="AK13"/>
  <c r="AK21"/>
  <c r="E6"/>
  <c r="AL5" s="1"/>
  <c r="AK3"/>
  <c r="E10"/>
  <c r="AL9" s="1"/>
  <c r="L3"/>
  <c r="AL13"/>
  <c r="E22"/>
  <c r="C21" s="1"/>
  <c r="AD3"/>
  <c r="H18"/>
  <c r="AL17" s="1"/>
  <c r="X5"/>
  <c r="H22"/>
  <c r="F21" s="1"/>
  <c r="AD5"/>
  <c r="K16"/>
  <c r="AL15" s="1"/>
  <c r="U7"/>
  <c r="AE12" i="17"/>
  <c r="AG12"/>
  <c r="AG46"/>
  <c r="AG34"/>
  <c r="AG4"/>
  <c r="AG8"/>
  <c r="AG20"/>
  <c r="AG15"/>
  <c r="AG7"/>
  <c r="AG23"/>
  <c r="AG26"/>
  <c r="AG33"/>
  <c r="AE33"/>
  <c r="AE7"/>
  <c r="AE10"/>
  <c r="AE16"/>
  <c r="AE30"/>
  <c r="AE23"/>
  <c r="AE26"/>
  <c r="Z20"/>
  <c r="C9" i="22" l="1"/>
  <c r="AI9" s="1"/>
  <c r="AI19"/>
  <c r="I15"/>
  <c r="AJ15" s="1"/>
  <c r="AI11"/>
  <c r="AH7"/>
  <c r="F17"/>
  <c r="AJ17" s="1"/>
  <c r="AJ11"/>
  <c r="AH11"/>
  <c r="AG11" s="1"/>
  <c r="AM19"/>
  <c r="AM7"/>
  <c r="AI15"/>
  <c r="AI13"/>
  <c r="AM15"/>
  <c r="AM17"/>
  <c r="AH13"/>
  <c r="AJ13"/>
  <c r="AI3"/>
  <c r="AM13"/>
  <c r="Z8" i="17"/>
  <c r="Z3"/>
  <c r="Z16"/>
  <c r="Z25"/>
  <c r="Z21"/>
  <c r="Z44"/>
  <c r="Z30"/>
  <c r="Z36"/>
  <c r="Z47"/>
  <c r="Z15"/>
  <c r="AI7" i="22"/>
  <c r="AG22" i="17"/>
  <c r="AG25"/>
  <c r="AG39"/>
  <c r="AG29"/>
  <c r="AG38"/>
  <c r="AB26"/>
  <c r="AB23"/>
  <c r="AB5"/>
  <c r="AB34"/>
  <c r="AB10"/>
  <c r="AB46"/>
  <c r="AB33"/>
  <c r="AG5"/>
  <c r="AG37"/>
  <c r="AG6"/>
  <c r="AG36"/>
  <c r="AG24"/>
  <c r="AB37"/>
  <c r="AB6"/>
  <c r="AB7"/>
  <c r="AB15"/>
  <c r="AG44"/>
  <c r="AG27"/>
  <c r="AB45"/>
  <c r="AB35"/>
  <c r="AB14"/>
  <c r="AB28"/>
  <c r="AB9"/>
  <c r="AB12"/>
  <c r="AG45"/>
  <c r="AG19"/>
  <c r="AG3"/>
  <c r="AG11"/>
  <c r="AG28"/>
  <c r="AG9"/>
  <c r="AB21"/>
  <c r="AB44"/>
  <c r="AB19"/>
  <c r="AB30"/>
  <c r="AB11"/>
  <c r="AB27"/>
  <c r="AB24"/>
  <c r="AB47"/>
  <c r="AB38"/>
  <c r="AG21"/>
  <c r="AB8"/>
  <c r="AB3"/>
  <c r="AB16"/>
  <c r="AB36"/>
  <c r="AB13"/>
  <c r="AB25"/>
  <c r="AG13"/>
  <c r="Z22"/>
  <c r="AH19" i="22"/>
  <c r="AJ19"/>
  <c r="AL2" i="16"/>
  <c r="AK13" s="1"/>
  <c r="T3" s="1"/>
  <c r="AM3" i="22"/>
  <c r="AH21"/>
  <c r="AJ21"/>
  <c r="AI21"/>
  <c r="AH3"/>
  <c r="AJ7"/>
  <c r="AL21"/>
  <c r="AM21" s="1"/>
  <c r="AK5"/>
  <c r="AM5" s="1"/>
  <c r="C5"/>
  <c r="AM9"/>
  <c r="AJ3"/>
  <c r="AH15" l="1"/>
  <c r="AG15" s="1"/>
  <c r="AR15" s="1"/>
  <c r="AH9"/>
  <c r="AG9" s="1"/>
  <c r="AJ9"/>
  <c r="AG19"/>
  <c r="AR19" s="1"/>
  <c r="AK32" i="16"/>
  <c r="AC7" s="1"/>
  <c r="AA8" s="1"/>
  <c r="AK12"/>
  <c r="Q15" s="1"/>
  <c r="AK41"/>
  <c r="AF11" s="1"/>
  <c r="AD11" s="1"/>
  <c r="AK37"/>
  <c r="AC27" s="1"/>
  <c r="AA30" s="1"/>
  <c r="AK47"/>
  <c r="AF35" s="1"/>
  <c r="AD37" s="1"/>
  <c r="AK15"/>
  <c r="T11" s="1"/>
  <c r="R14" s="1"/>
  <c r="AK3"/>
  <c r="H3" s="1"/>
  <c r="F3" s="1"/>
  <c r="AK42"/>
  <c r="AF15" s="1"/>
  <c r="AD18" s="1"/>
  <c r="AK5"/>
  <c r="K7" s="1"/>
  <c r="I7" s="1"/>
  <c r="AK45"/>
  <c r="AF27" s="1"/>
  <c r="AD30" s="1"/>
  <c r="AG7" i="22"/>
  <c r="AR7" s="1"/>
  <c r="AK33" i="16"/>
  <c r="AC11" s="1"/>
  <c r="K35" s="1"/>
  <c r="AK17"/>
  <c r="T19" s="1"/>
  <c r="R19" s="1"/>
  <c r="AK22"/>
  <c r="W19" s="1"/>
  <c r="U19" s="1"/>
  <c r="AK28"/>
  <c r="Z19" s="1"/>
  <c r="X19" s="1"/>
  <c r="AK4"/>
  <c r="K3" s="1"/>
  <c r="I5" s="1"/>
  <c r="AK6"/>
  <c r="N3" s="1"/>
  <c r="L3" s="1"/>
  <c r="AK31"/>
  <c r="AC3" s="1"/>
  <c r="AA5" s="1"/>
  <c r="AR11" i="22"/>
  <c r="AH17"/>
  <c r="AG13"/>
  <c r="AR13" s="1"/>
  <c r="AI17"/>
  <c r="AK11" i="16"/>
  <c r="Q11" s="1"/>
  <c r="O11" s="1"/>
  <c r="AK20"/>
  <c r="W11" s="1"/>
  <c r="U12" s="1"/>
  <c r="AK26"/>
  <c r="Z11" s="1"/>
  <c r="X13" s="1"/>
  <c r="AK16"/>
  <c r="T15" s="1"/>
  <c r="R17" s="1"/>
  <c r="AK46"/>
  <c r="AF31" s="1"/>
  <c r="AD32" s="1"/>
  <c r="AK21"/>
  <c r="W15" s="1"/>
  <c r="U15" s="1"/>
  <c r="AK34"/>
  <c r="AC15" s="1"/>
  <c r="AA18" s="1"/>
  <c r="AK30"/>
  <c r="Z27" s="1"/>
  <c r="W31" s="1"/>
  <c r="AK24"/>
  <c r="Z3" s="1"/>
  <c r="X5" s="1"/>
  <c r="AK19"/>
  <c r="W7" s="1"/>
  <c r="H27" s="1"/>
  <c r="AK18"/>
  <c r="W3" s="1"/>
  <c r="U6" s="1"/>
  <c r="AK38"/>
  <c r="AC31" s="1"/>
  <c r="X38" s="1"/>
  <c r="AK8"/>
  <c r="N11" s="1"/>
  <c r="K15" s="1"/>
  <c r="AK40"/>
  <c r="AF7" s="1"/>
  <c r="H39" s="1"/>
  <c r="AK7"/>
  <c r="N7" s="1"/>
  <c r="L8" s="1"/>
  <c r="AK39"/>
  <c r="AF3" s="1"/>
  <c r="AD4" s="1"/>
  <c r="AK10"/>
  <c r="Q7" s="1"/>
  <c r="O7" s="1"/>
  <c r="AK29"/>
  <c r="Z23" s="1"/>
  <c r="X23" s="1"/>
  <c r="AK44"/>
  <c r="AF23" s="1"/>
  <c r="T39" s="1"/>
  <c r="AK43"/>
  <c r="AF19" s="1"/>
  <c r="AD19" s="1"/>
  <c r="AK36"/>
  <c r="AC23" s="1"/>
  <c r="AA24" s="1"/>
  <c r="AK25"/>
  <c r="Z7" s="1"/>
  <c r="H31" s="1"/>
  <c r="AK14"/>
  <c r="T7" s="1"/>
  <c r="R7" s="1"/>
  <c r="AK9"/>
  <c r="Q3" s="1"/>
  <c r="O5" s="1"/>
  <c r="AK35"/>
  <c r="AC19" s="1"/>
  <c r="AA21" s="1"/>
  <c r="AK23"/>
  <c r="W23" s="1"/>
  <c r="U26" s="1"/>
  <c r="AK27"/>
  <c r="Z15" s="1"/>
  <c r="X16" s="1"/>
  <c r="AG21" i="22"/>
  <c r="AR21" s="1"/>
  <c r="AN23"/>
  <c r="AM23"/>
  <c r="AH5"/>
  <c r="AJ5"/>
  <c r="AI5"/>
  <c r="R4" i="16"/>
  <c r="R6"/>
  <c r="R3"/>
  <c r="E23"/>
  <c r="R5"/>
  <c r="AG3" i="22"/>
  <c r="AR3" s="1"/>
  <c r="AL23"/>
  <c r="O3" i="16" l="1"/>
  <c r="AR9" i="22"/>
  <c r="R10" i="16"/>
  <c r="AJ23" i="22"/>
  <c r="AA26" i="16"/>
  <c r="AA31"/>
  <c r="AA7"/>
  <c r="X7"/>
  <c r="AD22"/>
  <c r="AD27"/>
  <c r="AA12"/>
  <c r="I8"/>
  <c r="R21"/>
  <c r="E15"/>
  <c r="C17" s="1"/>
  <c r="K23"/>
  <c r="I24" s="1"/>
  <c r="AA15"/>
  <c r="AA3"/>
  <c r="I6"/>
  <c r="AD13"/>
  <c r="U13"/>
  <c r="R9"/>
  <c r="E35"/>
  <c r="C37" s="1"/>
  <c r="E11"/>
  <c r="C11" s="1"/>
  <c r="AC39"/>
  <c r="AA39" s="1"/>
  <c r="F4"/>
  <c r="AD14"/>
  <c r="N27"/>
  <c r="L28" s="1"/>
  <c r="AD9"/>
  <c r="U8"/>
  <c r="AA4"/>
  <c r="I3"/>
  <c r="AD35"/>
  <c r="I10"/>
  <c r="H11"/>
  <c r="F12" s="1"/>
  <c r="AI23" i="22"/>
  <c r="E7" i="16"/>
  <c r="C8" s="1"/>
  <c r="AD12"/>
  <c r="R20"/>
  <c r="U17"/>
  <c r="R18"/>
  <c r="AD6"/>
  <c r="AD8"/>
  <c r="U7"/>
  <c r="X28"/>
  <c r="AA9"/>
  <c r="H35"/>
  <c r="F35" s="1"/>
  <c r="U16"/>
  <c r="R16"/>
  <c r="U14"/>
  <c r="U11"/>
  <c r="E39"/>
  <c r="C41" s="1"/>
  <c r="AD7"/>
  <c r="X36"/>
  <c r="AA34"/>
  <c r="U9"/>
  <c r="X30"/>
  <c r="E19"/>
  <c r="C19" s="1"/>
  <c r="F37"/>
  <c r="AA6"/>
  <c r="I4"/>
  <c r="AD38"/>
  <c r="AD36"/>
  <c r="I9"/>
  <c r="F5"/>
  <c r="F6"/>
  <c r="K39"/>
  <c r="I41" s="1"/>
  <c r="R22"/>
  <c r="Q23"/>
  <c r="O23" s="1"/>
  <c r="U18"/>
  <c r="N23"/>
  <c r="L25" s="1"/>
  <c r="R15"/>
  <c r="K27"/>
  <c r="I27" s="1"/>
  <c r="AD5"/>
  <c r="AD3"/>
  <c r="AD10"/>
  <c r="Z35"/>
  <c r="X37" s="1"/>
  <c r="AA32"/>
  <c r="AA33"/>
  <c r="U10"/>
  <c r="X27"/>
  <c r="X29"/>
  <c r="T35"/>
  <c r="R35" s="1"/>
  <c r="AA10"/>
  <c r="O17"/>
  <c r="O18"/>
  <c r="N19"/>
  <c r="O16"/>
  <c r="O15"/>
  <c r="L4"/>
  <c r="X21"/>
  <c r="AD15"/>
  <c r="U21"/>
  <c r="AA13"/>
  <c r="AA28"/>
  <c r="O10"/>
  <c r="H15"/>
  <c r="F17" s="1"/>
  <c r="L13"/>
  <c r="U3"/>
  <c r="X3"/>
  <c r="O6"/>
  <c r="T27"/>
  <c r="R28" s="1"/>
  <c r="AD25"/>
  <c r="L5"/>
  <c r="AD29"/>
  <c r="Q31"/>
  <c r="O32" s="1"/>
  <c r="X20"/>
  <c r="N39"/>
  <c r="L39" s="1"/>
  <c r="AD17"/>
  <c r="U22"/>
  <c r="Q27"/>
  <c r="O29" s="1"/>
  <c r="R11"/>
  <c r="AA14"/>
  <c r="AA29"/>
  <c r="AA16"/>
  <c r="Z39"/>
  <c r="X41" s="1"/>
  <c r="X14"/>
  <c r="O12"/>
  <c r="L6"/>
  <c r="W39"/>
  <c r="U42" s="1"/>
  <c r="AD28"/>
  <c r="X22"/>
  <c r="AD16"/>
  <c r="U20"/>
  <c r="R12"/>
  <c r="R13"/>
  <c r="AA11"/>
  <c r="AA27"/>
  <c r="W35"/>
  <c r="U38" s="1"/>
  <c r="N35"/>
  <c r="L35" s="1"/>
  <c r="AD31"/>
  <c r="K31"/>
  <c r="I34" s="1"/>
  <c r="K19"/>
  <c r="I19" s="1"/>
  <c r="O8"/>
  <c r="L10"/>
  <c r="L12"/>
  <c r="E27"/>
  <c r="C27" s="1"/>
  <c r="E31"/>
  <c r="C32" s="1"/>
  <c r="H19"/>
  <c r="F21" s="1"/>
  <c r="L9"/>
  <c r="L11"/>
  <c r="U4"/>
  <c r="X6"/>
  <c r="AD26"/>
  <c r="AD21"/>
  <c r="X26"/>
  <c r="X25"/>
  <c r="AG17" i="22"/>
  <c r="AR17" s="1"/>
  <c r="AA17" i="16"/>
  <c r="AD34"/>
  <c r="AD33"/>
  <c r="X11"/>
  <c r="X12"/>
  <c r="O14"/>
  <c r="O13"/>
  <c r="O9"/>
  <c r="L7"/>
  <c r="L14"/>
  <c r="U5"/>
  <c r="X4"/>
  <c r="X24"/>
  <c r="R42"/>
  <c r="R39"/>
  <c r="R40"/>
  <c r="T31"/>
  <c r="AA20"/>
  <c r="AA19"/>
  <c r="X10"/>
  <c r="AD23"/>
  <c r="AD24"/>
  <c r="F34"/>
  <c r="F31"/>
  <c r="F33"/>
  <c r="R41"/>
  <c r="H23"/>
  <c r="Q35"/>
  <c r="O37" s="1"/>
  <c r="R8"/>
  <c r="X15"/>
  <c r="X18"/>
  <c r="AA25"/>
  <c r="AA23"/>
  <c r="X8"/>
  <c r="X9"/>
  <c r="Q39"/>
  <c r="AD20"/>
  <c r="F32"/>
  <c r="O4"/>
  <c r="U24"/>
  <c r="U25"/>
  <c r="U23"/>
  <c r="X17"/>
  <c r="AA22"/>
  <c r="N31"/>
  <c r="C22"/>
  <c r="C35"/>
  <c r="C26"/>
  <c r="C23"/>
  <c r="C25"/>
  <c r="C24"/>
  <c r="C12"/>
  <c r="AG5" i="22"/>
  <c r="AR5" s="1"/>
  <c r="AH23"/>
  <c r="F40" i="16"/>
  <c r="F41"/>
  <c r="F39"/>
  <c r="F42"/>
  <c r="F27"/>
  <c r="F29"/>
  <c r="F30"/>
  <c r="F28"/>
  <c r="I37"/>
  <c r="I38"/>
  <c r="I35"/>
  <c r="I36"/>
  <c r="I18"/>
  <c r="I16"/>
  <c r="I17"/>
  <c r="I15"/>
  <c r="U33"/>
  <c r="U31"/>
  <c r="U32"/>
  <c r="U34"/>
  <c r="F15" l="1"/>
  <c r="I26"/>
  <c r="C10"/>
  <c r="C39"/>
  <c r="L29"/>
  <c r="F19"/>
  <c r="I21"/>
  <c r="O25"/>
  <c r="AA41"/>
  <c r="C18"/>
  <c r="L24"/>
  <c r="I30"/>
  <c r="I39"/>
  <c r="F11"/>
  <c r="C16"/>
  <c r="C30"/>
  <c r="L30"/>
  <c r="I25"/>
  <c r="X35"/>
  <c r="L23"/>
  <c r="U35"/>
  <c r="F16"/>
  <c r="I29"/>
  <c r="O26"/>
  <c r="I42"/>
  <c r="O27"/>
  <c r="C9"/>
  <c r="F13"/>
  <c r="AA42"/>
  <c r="C15"/>
  <c r="C38"/>
  <c r="R38"/>
  <c r="R37"/>
  <c r="C40"/>
  <c r="L27"/>
  <c r="L36"/>
  <c r="I23"/>
  <c r="C14"/>
  <c r="R27"/>
  <c r="I20"/>
  <c r="L26"/>
  <c r="U37"/>
  <c r="C28"/>
  <c r="F18"/>
  <c r="F20"/>
  <c r="I28"/>
  <c r="O24"/>
  <c r="I40"/>
  <c r="O28"/>
  <c r="C7"/>
  <c r="F14"/>
  <c r="AA40"/>
  <c r="C36"/>
  <c r="R36"/>
  <c r="C42"/>
  <c r="O33"/>
  <c r="C13"/>
  <c r="F36"/>
  <c r="F38"/>
  <c r="C21"/>
  <c r="C20"/>
  <c r="X42"/>
  <c r="L41"/>
  <c r="R30"/>
  <c r="I33"/>
  <c r="X39"/>
  <c r="L40"/>
  <c r="U39"/>
  <c r="O31"/>
  <c r="R29"/>
  <c r="L21"/>
  <c r="L19"/>
  <c r="L20"/>
  <c r="L22"/>
  <c r="C33"/>
  <c r="I22"/>
  <c r="U36"/>
  <c r="C29"/>
  <c r="F22"/>
  <c r="O30"/>
  <c r="I31"/>
  <c r="C34"/>
  <c r="X40"/>
  <c r="L38"/>
  <c r="L42"/>
  <c r="U40"/>
  <c r="O34"/>
  <c r="I32"/>
  <c r="C31"/>
  <c r="L37"/>
  <c r="U41"/>
  <c r="AN17" i="22"/>
  <c r="O38" i="16"/>
  <c r="O35"/>
  <c r="O36"/>
  <c r="AN19" i="22"/>
  <c r="AN3"/>
  <c r="AN9"/>
  <c r="AN5"/>
  <c r="AN11"/>
  <c r="R31" i="16"/>
  <c r="R32"/>
  <c r="R34"/>
  <c r="R33"/>
  <c r="AN15" i="22"/>
  <c r="F24" i="16"/>
  <c r="F23"/>
  <c r="F26"/>
  <c r="F25"/>
  <c r="AN7" i="22"/>
  <c r="AN13"/>
  <c r="O40" i="16"/>
  <c r="O42"/>
  <c r="O39"/>
  <c r="O41"/>
  <c r="AN21" i="22"/>
  <c r="L34" i="16"/>
  <c r="L32"/>
  <c r="L31"/>
  <c r="L33"/>
</calcChain>
</file>

<file path=xl/comments1.xml><?xml version="1.0" encoding="utf-8"?>
<comments xmlns="http://schemas.openxmlformats.org/spreadsheetml/2006/main">
  <authors>
    <author>大阪府立学校</author>
  </authors>
  <commentList>
    <comment ref="G3" authorId="0">
      <text>
        <r>
          <rPr>
            <b/>
            <sz val="9"/>
            <color indexed="81"/>
            <rFont val="ＭＳ Ｐゴシック"/>
            <family val="3"/>
            <charset val="128"/>
          </rPr>
          <t>日付を入力</t>
        </r>
      </text>
    </comment>
    <comment ref="G4" authorId="0">
      <text>
        <r>
          <rPr>
            <b/>
            <sz val="9"/>
            <color indexed="81"/>
            <rFont val="ＭＳ Ｐゴシック"/>
            <family val="3"/>
            <charset val="128"/>
          </rPr>
          <t>日付を入力</t>
        </r>
      </text>
    </comment>
    <comment ref="G5" authorId="0">
      <text>
        <r>
          <rPr>
            <b/>
            <sz val="9"/>
            <color indexed="81"/>
            <rFont val="ＭＳ Ｐゴシック"/>
            <family val="3"/>
            <charset val="128"/>
          </rPr>
          <t>日付を入力</t>
        </r>
      </text>
    </comment>
    <comment ref="G6" authorId="0">
      <text>
        <r>
          <rPr>
            <b/>
            <sz val="9"/>
            <color indexed="81"/>
            <rFont val="ＭＳ Ｐゴシック"/>
            <family val="3"/>
            <charset val="128"/>
          </rPr>
          <t>日付を入力</t>
        </r>
      </text>
    </comment>
    <comment ref="G7" authorId="0">
      <text>
        <r>
          <rPr>
            <b/>
            <sz val="9"/>
            <color indexed="81"/>
            <rFont val="ＭＳ Ｐゴシック"/>
            <family val="3"/>
            <charset val="128"/>
          </rPr>
          <t>日付を入力</t>
        </r>
      </text>
    </comment>
    <comment ref="G8" authorId="0">
      <text>
        <r>
          <rPr>
            <b/>
            <sz val="9"/>
            <color indexed="81"/>
            <rFont val="ＭＳ Ｐゴシック"/>
            <family val="3"/>
            <charset val="128"/>
          </rPr>
          <t>日付を入力</t>
        </r>
      </text>
    </comment>
    <comment ref="G9" authorId="0">
      <text>
        <r>
          <rPr>
            <b/>
            <sz val="9"/>
            <color indexed="81"/>
            <rFont val="ＭＳ Ｐゴシック"/>
            <family val="3"/>
            <charset val="128"/>
          </rPr>
          <t>日付を入力</t>
        </r>
      </text>
    </comment>
    <comment ref="G10" authorId="0">
      <text>
        <r>
          <rPr>
            <b/>
            <sz val="9"/>
            <color indexed="81"/>
            <rFont val="ＭＳ Ｐゴシック"/>
            <family val="3"/>
            <charset val="128"/>
          </rPr>
          <t>日付を入力</t>
        </r>
      </text>
    </comment>
    <comment ref="G11" authorId="0">
      <text>
        <r>
          <rPr>
            <b/>
            <sz val="9"/>
            <color indexed="81"/>
            <rFont val="ＭＳ Ｐゴシック"/>
            <family val="3"/>
            <charset val="128"/>
          </rPr>
          <t>日付を入力</t>
        </r>
      </text>
    </comment>
    <comment ref="G12" authorId="0">
      <text>
        <r>
          <rPr>
            <b/>
            <sz val="9"/>
            <color indexed="81"/>
            <rFont val="ＭＳ Ｐゴシック"/>
            <family val="3"/>
            <charset val="128"/>
          </rPr>
          <t>日付を入力</t>
        </r>
      </text>
    </comment>
    <comment ref="G13" authorId="0">
      <text>
        <r>
          <rPr>
            <b/>
            <sz val="9"/>
            <color indexed="81"/>
            <rFont val="ＭＳ Ｐゴシック"/>
            <family val="3"/>
            <charset val="128"/>
          </rPr>
          <t>日付を入力</t>
        </r>
      </text>
    </comment>
    <comment ref="G14" authorId="0">
      <text>
        <r>
          <rPr>
            <b/>
            <sz val="9"/>
            <color indexed="81"/>
            <rFont val="ＭＳ Ｐゴシック"/>
            <family val="3"/>
            <charset val="128"/>
          </rPr>
          <t>日付を入力</t>
        </r>
      </text>
    </comment>
    <comment ref="G15" authorId="0">
      <text>
        <r>
          <rPr>
            <b/>
            <sz val="9"/>
            <color indexed="81"/>
            <rFont val="ＭＳ Ｐゴシック"/>
            <family val="3"/>
            <charset val="128"/>
          </rPr>
          <t>日付を入力</t>
        </r>
      </text>
    </comment>
    <comment ref="G16" authorId="0">
      <text>
        <r>
          <rPr>
            <b/>
            <sz val="9"/>
            <color indexed="81"/>
            <rFont val="ＭＳ Ｐゴシック"/>
            <family val="3"/>
            <charset val="128"/>
          </rPr>
          <t>日付を入力</t>
        </r>
      </text>
    </comment>
    <comment ref="G17" authorId="0">
      <text>
        <r>
          <rPr>
            <b/>
            <sz val="9"/>
            <color indexed="81"/>
            <rFont val="ＭＳ Ｐゴシック"/>
            <family val="3"/>
            <charset val="128"/>
          </rPr>
          <t>日付を入力</t>
        </r>
      </text>
    </comment>
    <comment ref="G18" authorId="0">
      <text>
        <r>
          <rPr>
            <b/>
            <sz val="9"/>
            <color indexed="81"/>
            <rFont val="ＭＳ Ｐゴシック"/>
            <family val="3"/>
            <charset val="128"/>
          </rPr>
          <t>日付を入力</t>
        </r>
      </text>
    </comment>
    <comment ref="G19" authorId="0">
      <text>
        <r>
          <rPr>
            <b/>
            <sz val="9"/>
            <color indexed="81"/>
            <rFont val="ＭＳ Ｐゴシック"/>
            <family val="3"/>
            <charset val="128"/>
          </rPr>
          <t>日付を入力</t>
        </r>
      </text>
    </comment>
    <comment ref="G20" authorId="0">
      <text>
        <r>
          <rPr>
            <b/>
            <sz val="9"/>
            <color indexed="81"/>
            <rFont val="ＭＳ Ｐゴシック"/>
            <family val="3"/>
            <charset val="128"/>
          </rPr>
          <t>日付を入力</t>
        </r>
      </text>
    </comment>
    <comment ref="G21" authorId="0">
      <text>
        <r>
          <rPr>
            <b/>
            <sz val="9"/>
            <color indexed="81"/>
            <rFont val="ＭＳ Ｐゴシック"/>
            <family val="3"/>
            <charset val="128"/>
          </rPr>
          <t>日付を入力</t>
        </r>
      </text>
    </comment>
    <comment ref="G22" authorId="0">
      <text>
        <r>
          <rPr>
            <b/>
            <sz val="9"/>
            <color indexed="81"/>
            <rFont val="ＭＳ Ｐゴシック"/>
            <family val="3"/>
            <charset val="128"/>
          </rPr>
          <t>日付を入力</t>
        </r>
      </text>
    </comment>
    <comment ref="G23" authorId="0">
      <text>
        <r>
          <rPr>
            <b/>
            <sz val="9"/>
            <color indexed="81"/>
            <rFont val="ＭＳ Ｐゴシック"/>
            <family val="3"/>
            <charset val="128"/>
          </rPr>
          <t>日付を入力</t>
        </r>
      </text>
    </comment>
    <comment ref="G24" authorId="0">
      <text>
        <r>
          <rPr>
            <b/>
            <sz val="9"/>
            <color indexed="81"/>
            <rFont val="ＭＳ Ｐゴシック"/>
            <family val="3"/>
            <charset val="128"/>
          </rPr>
          <t>日付を入力</t>
        </r>
      </text>
    </comment>
    <comment ref="G25" authorId="0">
      <text>
        <r>
          <rPr>
            <b/>
            <sz val="9"/>
            <color indexed="81"/>
            <rFont val="ＭＳ Ｐゴシック"/>
            <family val="3"/>
            <charset val="128"/>
          </rPr>
          <t>日付を入力</t>
        </r>
      </text>
    </comment>
    <comment ref="G26" authorId="0">
      <text>
        <r>
          <rPr>
            <b/>
            <sz val="9"/>
            <color indexed="81"/>
            <rFont val="ＭＳ Ｐゴシック"/>
            <family val="3"/>
            <charset val="128"/>
          </rPr>
          <t>日付を入力</t>
        </r>
      </text>
    </comment>
    <comment ref="G27" authorId="0">
      <text>
        <r>
          <rPr>
            <b/>
            <sz val="9"/>
            <color indexed="81"/>
            <rFont val="ＭＳ Ｐゴシック"/>
            <family val="3"/>
            <charset val="128"/>
          </rPr>
          <t>日付を入力</t>
        </r>
      </text>
    </comment>
    <comment ref="G28" authorId="0">
      <text>
        <r>
          <rPr>
            <b/>
            <sz val="9"/>
            <color indexed="81"/>
            <rFont val="ＭＳ Ｐゴシック"/>
            <family val="3"/>
            <charset val="128"/>
          </rPr>
          <t>日付を入力</t>
        </r>
      </text>
    </comment>
    <comment ref="G29" authorId="0">
      <text>
        <r>
          <rPr>
            <b/>
            <sz val="9"/>
            <color indexed="81"/>
            <rFont val="ＭＳ Ｐゴシック"/>
            <family val="3"/>
            <charset val="128"/>
          </rPr>
          <t>日付を入力</t>
        </r>
      </text>
    </comment>
    <comment ref="G30" authorId="0">
      <text>
        <r>
          <rPr>
            <b/>
            <sz val="9"/>
            <color indexed="81"/>
            <rFont val="ＭＳ Ｐゴシック"/>
            <family val="3"/>
            <charset val="128"/>
          </rPr>
          <t>日付を入力</t>
        </r>
      </text>
    </comment>
    <comment ref="G31" authorId="0">
      <text>
        <r>
          <rPr>
            <b/>
            <sz val="9"/>
            <color indexed="81"/>
            <rFont val="ＭＳ Ｐゴシック"/>
            <family val="3"/>
            <charset val="128"/>
          </rPr>
          <t>日付を入力</t>
        </r>
      </text>
    </comment>
    <comment ref="G32" authorId="0">
      <text>
        <r>
          <rPr>
            <b/>
            <sz val="9"/>
            <color indexed="81"/>
            <rFont val="ＭＳ Ｐゴシック"/>
            <family val="3"/>
            <charset val="128"/>
          </rPr>
          <t>日付を入力</t>
        </r>
      </text>
    </comment>
    <comment ref="G33" authorId="0">
      <text>
        <r>
          <rPr>
            <b/>
            <sz val="9"/>
            <color indexed="81"/>
            <rFont val="ＭＳ Ｐゴシック"/>
            <family val="3"/>
            <charset val="128"/>
          </rPr>
          <t>日付を入力</t>
        </r>
      </text>
    </comment>
    <comment ref="G34" authorId="0">
      <text>
        <r>
          <rPr>
            <b/>
            <sz val="9"/>
            <color indexed="81"/>
            <rFont val="ＭＳ Ｐゴシック"/>
            <family val="3"/>
            <charset val="128"/>
          </rPr>
          <t>日付を入力</t>
        </r>
      </text>
    </comment>
    <comment ref="G35" authorId="0">
      <text>
        <r>
          <rPr>
            <b/>
            <sz val="9"/>
            <color indexed="81"/>
            <rFont val="ＭＳ Ｐゴシック"/>
            <family val="3"/>
            <charset val="128"/>
          </rPr>
          <t>日付を入力</t>
        </r>
      </text>
    </comment>
    <comment ref="G36" authorId="0">
      <text>
        <r>
          <rPr>
            <b/>
            <sz val="9"/>
            <color indexed="81"/>
            <rFont val="ＭＳ Ｐゴシック"/>
            <family val="3"/>
            <charset val="128"/>
          </rPr>
          <t>日付を入力</t>
        </r>
      </text>
    </comment>
    <comment ref="G37" authorId="0">
      <text>
        <r>
          <rPr>
            <b/>
            <sz val="9"/>
            <color indexed="81"/>
            <rFont val="ＭＳ Ｐゴシック"/>
            <family val="3"/>
            <charset val="128"/>
          </rPr>
          <t>日付を入力</t>
        </r>
      </text>
    </comment>
    <comment ref="G38" authorId="0">
      <text>
        <r>
          <rPr>
            <b/>
            <sz val="9"/>
            <color indexed="81"/>
            <rFont val="ＭＳ Ｐゴシック"/>
            <family val="3"/>
            <charset val="128"/>
          </rPr>
          <t>日付を入力</t>
        </r>
      </text>
    </comment>
    <comment ref="G39" authorId="0">
      <text>
        <r>
          <rPr>
            <b/>
            <sz val="9"/>
            <color indexed="81"/>
            <rFont val="ＭＳ Ｐゴシック"/>
            <family val="3"/>
            <charset val="128"/>
          </rPr>
          <t>日付を入力</t>
        </r>
      </text>
    </comment>
    <comment ref="G40" authorId="0">
      <text>
        <r>
          <rPr>
            <b/>
            <sz val="9"/>
            <color indexed="81"/>
            <rFont val="ＭＳ Ｐゴシック"/>
            <family val="3"/>
            <charset val="128"/>
          </rPr>
          <t>日付を入力</t>
        </r>
      </text>
    </comment>
    <comment ref="G41" authorId="0">
      <text>
        <r>
          <rPr>
            <b/>
            <sz val="9"/>
            <color indexed="81"/>
            <rFont val="ＭＳ Ｐゴシック"/>
            <family val="3"/>
            <charset val="128"/>
          </rPr>
          <t>日付を入力</t>
        </r>
      </text>
    </comment>
    <comment ref="G42" authorId="0">
      <text>
        <r>
          <rPr>
            <b/>
            <sz val="9"/>
            <color indexed="81"/>
            <rFont val="ＭＳ Ｐゴシック"/>
            <family val="3"/>
            <charset val="128"/>
          </rPr>
          <t>日付を入力</t>
        </r>
      </text>
    </comment>
    <comment ref="G43" authorId="0">
      <text>
        <r>
          <rPr>
            <b/>
            <sz val="9"/>
            <color indexed="81"/>
            <rFont val="ＭＳ Ｐゴシック"/>
            <family val="3"/>
            <charset val="128"/>
          </rPr>
          <t>日付を入力</t>
        </r>
      </text>
    </comment>
    <comment ref="G44" authorId="0">
      <text>
        <r>
          <rPr>
            <b/>
            <sz val="9"/>
            <color indexed="81"/>
            <rFont val="ＭＳ Ｐゴシック"/>
            <family val="3"/>
            <charset val="128"/>
          </rPr>
          <t>日付を入力</t>
        </r>
      </text>
    </comment>
    <comment ref="G45" authorId="0">
      <text>
        <r>
          <rPr>
            <b/>
            <sz val="9"/>
            <color indexed="81"/>
            <rFont val="ＭＳ Ｐゴシック"/>
            <family val="3"/>
            <charset val="128"/>
          </rPr>
          <t>日付を入力</t>
        </r>
      </text>
    </comment>
    <comment ref="G46" authorId="0">
      <text>
        <r>
          <rPr>
            <b/>
            <sz val="9"/>
            <color indexed="81"/>
            <rFont val="ＭＳ Ｐゴシック"/>
            <family val="3"/>
            <charset val="128"/>
          </rPr>
          <t>日付を入力</t>
        </r>
      </text>
    </comment>
    <comment ref="G47" authorId="0">
      <text>
        <r>
          <rPr>
            <b/>
            <sz val="9"/>
            <color indexed="81"/>
            <rFont val="ＭＳ Ｐゴシック"/>
            <family val="3"/>
            <charset val="128"/>
          </rPr>
          <t>日付を入力</t>
        </r>
      </text>
    </comment>
  </commentList>
</comments>
</file>

<file path=xl/comments2.xml><?xml version="1.0" encoding="utf-8"?>
<comments xmlns="http://schemas.openxmlformats.org/spreadsheetml/2006/main">
  <authors>
    <author>S Kurioka</author>
  </authors>
  <commentList>
    <comment ref="B3" authorId="0">
      <text>
        <r>
          <rPr>
            <sz val="12"/>
            <color indexed="81"/>
            <rFont val="ＭＳ Ｐゴシック"/>
            <family val="3"/>
            <charset val="128"/>
          </rPr>
          <t>チーム名を入力</t>
        </r>
      </text>
    </comment>
    <comment ref="B7" authorId="0">
      <text>
        <r>
          <rPr>
            <sz val="12"/>
            <color indexed="81"/>
            <rFont val="ＭＳ Ｐゴシック"/>
            <family val="3"/>
            <charset val="128"/>
          </rPr>
          <t>チーム名を入力</t>
        </r>
      </text>
    </comment>
    <comment ref="B11" authorId="0">
      <text>
        <r>
          <rPr>
            <sz val="12"/>
            <color indexed="81"/>
            <rFont val="ＭＳ Ｐゴシック"/>
            <family val="3"/>
            <charset val="128"/>
          </rPr>
          <t>チーム名を入力</t>
        </r>
      </text>
    </comment>
    <comment ref="B15" authorId="0">
      <text>
        <r>
          <rPr>
            <sz val="12"/>
            <color indexed="81"/>
            <rFont val="ＭＳ Ｐゴシック"/>
            <family val="3"/>
            <charset val="128"/>
          </rPr>
          <t>チーム名を入力</t>
        </r>
      </text>
    </comment>
    <comment ref="B19" authorId="0">
      <text>
        <r>
          <rPr>
            <sz val="12"/>
            <color indexed="81"/>
            <rFont val="ＭＳ Ｐゴシック"/>
            <family val="3"/>
            <charset val="128"/>
          </rPr>
          <t>チーム名を入力</t>
        </r>
      </text>
    </comment>
    <comment ref="B23" authorId="0">
      <text>
        <r>
          <rPr>
            <sz val="12"/>
            <color indexed="81"/>
            <rFont val="ＭＳ Ｐゴシック"/>
            <family val="3"/>
            <charset val="128"/>
          </rPr>
          <t>チーム名を入力</t>
        </r>
      </text>
    </comment>
    <comment ref="B27" authorId="0">
      <text>
        <r>
          <rPr>
            <sz val="12"/>
            <color indexed="81"/>
            <rFont val="ＭＳ Ｐゴシック"/>
            <family val="3"/>
            <charset val="128"/>
          </rPr>
          <t>チーム名を入力</t>
        </r>
      </text>
    </comment>
    <comment ref="B31" authorId="0">
      <text>
        <r>
          <rPr>
            <sz val="12"/>
            <color indexed="81"/>
            <rFont val="ＭＳ Ｐゴシック"/>
            <family val="3"/>
            <charset val="128"/>
          </rPr>
          <t>チーム名を入力</t>
        </r>
      </text>
    </comment>
    <comment ref="B35" authorId="0">
      <text>
        <r>
          <rPr>
            <sz val="12"/>
            <color indexed="81"/>
            <rFont val="ＭＳ Ｐゴシック"/>
            <family val="3"/>
            <charset val="128"/>
          </rPr>
          <t>チーム名を入力</t>
        </r>
      </text>
    </comment>
    <comment ref="B39" authorId="0">
      <text>
        <r>
          <rPr>
            <sz val="12"/>
            <color indexed="81"/>
            <rFont val="ＭＳ Ｐゴシック"/>
            <family val="3"/>
            <charset val="128"/>
          </rPr>
          <t>チーム名を入力</t>
        </r>
      </text>
    </comment>
  </commentList>
</comments>
</file>

<file path=xl/sharedStrings.xml><?xml version="1.0" encoding="utf-8"?>
<sst xmlns="http://schemas.openxmlformats.org/spreadsheetml/2006/main" count="960" uniqueCount="211">
  <si>
    <t>勝</t>
    <rPh sb="0" eb="1">
      <t>カ</t>
    </rPh>
    <phoneticPr fontId="3"/>
  </si>
  <si>
    <t>負</t>
    <rPh sb="0" eb="1">
      <t>マ</t>
    </rPh>
    <phoneticPr fontId="3"/>
  </si>
  <si>
    <t>勝点</t>
    <rPh sb="0" eb="1">
      <t>カ</t>
    </rPh>
    <rPh sb="1" eb="2">
      <t>テン</t>
    </rPh>
    <phoneticPr fontId="3"/>
  </si>
  <si>
    <t>順位</t>
    <rPh sb="0" eb="2">
      <t>ジュンイ</t>
    </rPh>
    <phoneticPr fontId="3"/>
  </si>
  <si>
    <t>分</t>
    <rPh sb="0" eb="1">
      <t>ワ</t>
    </rPh>
    <phoneticPr fontId="3"/>
  </si>
  <si>
    <t>-</t>
  </si>
  <si>
    <t>得失点</t>
    <rPh sb="0" eb="1">
      <t>トク</t>
    </rPh>
    <rPh sb="1" eb="3">
      <t>シッテン</t>
    </rPh>
    <phoneticPr fontId="3"/>
  </si>
  <si>
    <t>総得点</t>
    <rPh sb="0" eb="3">
      <t>ソウトクテン</t>
    </rPh>
    <phoneticPr fontId="3"/>
  </si>
  <si>
    <t>序列ﾃﾞｰﾀ</t>
    <rPh sb="0" eb="2">
      <t>ジョレツ</t>
    </rPh>
    <phoneticPr fontId="3"/>
  </si>
  <si>
    <t>試合数</t>
    <rPh sb="0" eb="3">
      <t>シアイスウ</t>
    </rPh>
    <phoneticPr fontId="3"/>
  </si>
  <si>
    <t>No</t>
    <phoneticPr fontId="3"/>
  </si>
  <si>
    <t>月</t>
    <rPh sb="0" eb="1">
      <t>ツキ</t>
    </rPh>
    <phoneticPr fontId="3"/>
  </si>
  <si>
    <t>日</t>
    <rPh sb="0" eb="1">
      <t>ニチ</t>
    </rPh>
    <phoneticPr fontId="3"/>
  </si>
  <si>
    <t>会場</t>
    <rPh sb="0" eb="2">
      <t>カイジョウ</t>
    </rPh>
    <phoneticPr fontId="3"/>
  </si>
  <si>
    <t>月</t>
    <rPh sb="0" eb="1">
      <t>ガツ</t>
    </rPh>
    <phoneticPr fontId="3"/>
  </si>
  <si>
    <t>開始時刻</t>
    <rPh sb="0" eb="2">
      <t>カイシ</t>
    </rPh>
    <rPh sb="2" eb="4">
      <t>ジコク</t>
    </rPh>
    <phoneticPr fontId="3"/>
  </si>
  <si>
    <t>月</t>
  </si>
  <si>
    <t>日</t>
  </si>
  <si>
    <t>日現在</t>
    <rPh sb="0" eb="1">
      <t>ニチ</t>
    </rPh>
    <rPh sb="1" eb="3">
      <t>ゲンザイ</t>
    </rPh>
    <phoneticPr fontId="3"/>
  </si>
  <si>
    <t>欄外1</t>
    <rPh sb="0" eb="2">
      <t>ランガイ</t>
    </rPh>
    <phoneticPr fontId="3"/>
  </si>
  <si>
    <t>欄外2</t>
    <rPh sb="0" eb="2">
      <t>ランガイ</t>
    </rPh>
    <phoneticPr fontId="3"/>
  </si>
  <si>
    <t>副審</t>
    <rPh sb="0" eb="2">
      <t>フクシン</t>
    </rPh>
    <phoneticPr fontId="3"/>
  </si>
  <si>
    <t>当番</t>
    <rPh sb="0" eb="2">
      <t>トウバン</t>
    </rPh>
    <phoneticPr fontId="3"/>
  </si>
  <si>
    <t>ブロック　日程一覧</t>
    <rPh sb="5" eb="7">
      <t>ニッテイ</t>
    </rPh>
    <rPh sb="7" eb="9">
      <t>イチラン</t>
    </rPh>
    <phoneticPr fontId="3"/>
  </si>
  <si>
    <t>大阪教員クラブ</t>
    <rPh sb="0" eb="2">
      <t>オオサカ</t>
    </rPh>
    <rPh sb="2" eb="4">
      <t>キョウイン</t>
    </rPh>
    <phoneticPr fontId="3"/>
  </si>
  <si>
    <t>千田充弘　宛</t>
    <rPh sb="0" eb="2">
      <t>チダ</t>
    </rPh>
    <rPh sb="2" eb="4">
      <t>ミツヒロ</t>
    </rPh>
    <rPh sb="5" eb="6">
      <t>アテ</t>
    </rPh>
    <phoneticPr fontId="3"/>
  </si>
  <si>
    <t>送信日</t>
    <rPh sb="0" eb="3">
      <t>ソウシンビ</t>
    </rPh>
    <phoneticPr fontId="3"/>
  </si>
  <si>
    <t>平成</t>
    <rPh sb="0" eb="2">
      <t>ヘイセイ</t>
    </rPh>
    <phoneticPr fontId="3"/>
  </si>
  <si>
    <t>年</t>
    <rPh sb="0" eb="1">
      <t>ネン</t>
    </rPh>
    <phoneticPr fontId="3"/>
  </si>
  <si>
    <t>日程変更願い</t>
    <rPh sb="0" eb="2">
      <t>ニッテイ</t>
    </rPh>
    <rPh sb="2" eb="4">
      <t>ヘンコウ</t>
    </rPh>
    <rPh sb="4" eb="5">
      <t>ネガ</t>
    </rPh>
    <phoneticPr fontId="3"/>
  </si>
  <si>
    <t>変更を希望する対戦</t>
    <rPh sb="0" eb="2">
      <t>ヘンコウ</t>
    </rPh>
    <rPh sb="3" eb="5">
      <t>キボウ</t>
    </rPh>
    <rPh sb="7" eb="9">
      <t>タイセン</t>
    </rPh>
    <phoneticPr fontId="3"/>
  </si>
  <si>
    <t>対</t>
    <rPh sb="0" eb="1">
      <t>タイ</t>
    </rPh>
    <phoneticPr fontId="3"/>
  </si>
  <si>
    <t>理由：</t>
    <rPh sb="0" eb="2">
      <t>リユウ</t>
    </rPh>
    <phoneticPr fontId="3"/>
  </si>
  <si>
    <t>当てはまるものに丸をつけてください。</t>
    <rPh sb="0" eb="1">
      <t>ア</t>
    </rPh>
    <rPh sb="8" eb="9">
      <t>マル</t>
    </rPh>
    <phoneticPr fontId="3"/>
  </si>
  <si>
    <t>１．グラウンドは確保できていませんが別の日程への変更を希望します。</t>
    <rPh sb="8" eb="10">
      <t>カクホ</t>
    </rPh>
    <rPh sb="18" eb="19">
      <t>ベツ</t>
    </rPh>
    <rPh sb="20" eb="22">
      <t>ニッテイ</t>
    </rPh>
    <rPh sb="24" eb="26">
      <t>ヘンコウ</t>
    </rPh>
    <rPh sb="27" eb="29">
      <t>キボウ</t>
    </rPh>
    <phoneticPr fontId="3"/>
  </si>
  <si>
    <t>に確保していますので、この日程への変更を希望します。</t>
    <rPh sb="1" eb="3">
      <t>カクホ</t>
    </rPh>
    <rPh sb="13" eb="15">
      <t>ニッテイ</t>
    </rPh>
    <rPh sb="17" eb="19">
      <t>ヘンコウ</t>
    </rPh>
    <rPh sb="20" eb="22">
      <t>キボウ</t>
    </rPh>
    <phoneticPr fontId="3"/>
  </si>
  <si>
    <t>３．その他（　　　　　　　　　　　　　　　　　　　　　　　　　　　　　　　　　　　　　　　　　　　　　　　　　　　　　　　　　　　　　　　　　　　　　　　　　　　　　　　　　　　）</t>
    <rPh sb="4" eb="5">
      <t>タ</t>
    </rPh>
    <phoneticPr fontId="3"/>
  </si>
  <si>
    <r>
      <t>２．</t>
    </r>
    <r>
      <rPr>
        <u/>
        <sz val="12"/>
        <rFont val="ＭＳ Ｐゴシック"/>
        <family val="3"/>
        <charset val="128"/>
      </rPr>
      <t>　　　　　　　　　　　　　　</t>
    </r>
    <r>
      <rPr>
        <sz val="12"/>
        <rFont val="ＭＳ Ｐゴシック"/>
        <family val="3"/>
        <charset val="128"/>
      </rPr>
      <t>Gを</t>
    </r>
    <phoneticPr fontId="3"/>
  </si>
  <si>
    <t>チーム名</t>
    <rPh sb="3" eb="4">
      <t>メイ</t>
    </rPh>
    <phoneticPr fontId="3"/>
  </si>
  <si>
    <t>代表者</t>
    <rPh sb="0" eb="3">
      <t>ダイヒョウシャ</t>
    </rPh>
    <phoneticPr fontId="3"/>
  </si>
  <si>
    <t>-</t>
    <phoneticPr fontId="3"/>
  </si>
  <si>
    <t>FAX　06-6722-0226</t>
    <phoneticPr fontId="3"/>
  </si>
  <si>
    <t>副</t>
    <rPh sb="0" eb="1">
      <t>フク</t>
    </rPh>
    <phoneticPr fontId="3"/>
  </si>
  <si>
    <t>番</t>
    <rPh sb="0" eb="1">
      <t>バン</t>
    </rPh>
    <phoneticPr fontId="3"/>
  </si>
  <si>
    <t>対戦</t>
    <rPh sb="0" eb="2">
      <t>タイセン</t>
    </rPh>
    <phoneticPr fontId="3"/>
  </si>
  <si>
    <t>備考</t>
    <rPh sb="0" eb="2">
      <t>ビコウ</t>
    </rPh>
    <phoneticPr fontId="3"/>
  </si>
  <si>
    <t>更新</t>
    <rPh sb="0" eb="2">
      <t>コウシン</t>
    </rPh>
    <phoneticPr fontId="3"/>
  </si>
  <si>
    <t>日程
確定</t>
    <rPh sb="0" eb="2">
      <t>ニッテイ</t>
    </rPh>
    <rPh sb="3" eb="5">
      <t>カクテイ</t>
    </rPh>
    <phoneticPr fontId="3"/>
  </si>
  <si>
    <t>3D</t>
    <phoneticPr fontId="3"/>
  </si>
  <si>
    <t>試合日</t>
    <rPh sb="0" eb="2">
      <t>シアイ</t>
    </rPh>
    <rPh sb="2" eb="3">
      <t>ビ</t>
    </rPh>
    <phoneticPr fontId="3"/>
  </si>
  <si>
    <t>差</t>
    <rPh sb="0" eb="1">
      <t>サ</t>
    </rPh>
    <phoneticPr fontId="3"/>
  </si>
  <si>
    <t>日</t>
    <phoneticPr fontId="3"/>
  </si>
  <si>
    <t>ブロック　星取表</t>
    <phoneticPr fontId="3"/>
  </si>
  <si>
    <t>月</t>
    <phoneticPr fontId="3"/>
  </si>
  <si>
    <t>現在</t>
    <phoneticPr fontId="3"/>
  </si>
  <si>
    <t>勝</t>
    <phoneticPr fontId="3"/>
  </si>
  <si>
    <t>分</t>
    <phoneticPr fontId="3"/>
  </si>
  <si>
    <t>負</t>
    <phoneticPr fontId="3"/>
  </si>
  <si>
    <t>勝点</t>
    <phoneticPr fontId="3"/>
  </si>
  <si>
    <t>得点</t>
    <phoneticPr fontId="3"/>
  </si>
  <si>
    <t>失点</t>
    <phoneticPr fontId="3"/>
  </si>
  <si>
    <t>点差</t>
    <phoneticPr fontId="3"/>
  </si>
  <si>
    <t>順位</t>
    <phoneticPr fontId="3"/>
  </si>
  <si>
    <t>○：勝ち３点　　△：分け１点　　●：負け０点</t>
    <phoneticPr fontId="3"/>
  </si>
  <si>
    <t>AR:はアシスタントレフリーです。時刻の後ろの（　）内はグラウンド当番です。</t>
    <rPh sb="17" eb="19">
      <t>ジコク</t>
    </rPh>
    <rPh sb="20" eb="21">
      <t>ウシ</t>
    </rPh>
    <rPh sb="26" eb="27">
      <t>ナイ</t>
    </rPh>
    <rPh sb="33" eb="35">
      <t>トウバン</t>
    </rPh>
    <phoneticPr fontId="3"/>
  </si>
  <si>
    <t>棄権</t>
    <rPh sb="0" eb="2">
      <t>キケン</t>
    </rPh>
    <phoneticPr fontId="3"/>
  </si>
  <si>
    <t>略称</t>
    <rPh sb="0" eb="2">
      <t>リャクショウ</t>
    </rPh>
    <phoneticPr fontId="3"/>
  </si>
  <si>
    <t>計</t>
    <rPh sb="0" eb="1">
      <t>ケイ</t>
    </rPh>
    <phoneticPr fontId="3"/>
  </si>
  <si>
    <t>大阪教員クラブ</t>
    <rPh sb="0" eb="2">
      <t>オオサカ</t>
    </rPh>
    <rPh sb="2" eb="4">
      <t>キョウイン</t>
    </rPh>
    <phoneticPr fontId="2"/>
  </si>
  <si>
    <t>ペナルティ</t>
    <phoneticPr fontId="3"/>
  </si>
  <si>
    <t>左</t>
    <rPh sb="0" eb="1">
      <t>ヒダリ</t>
    </rPh>
    <phoneticPr fontId="3"/>
  </si>
  <si>
    <t>FP</t>
    <phoneticPr fontId="3"/>
  </si>
  <si>
    <t>色</t>
    <rPh sb="0" eb="1">
      <t>イロ</t>
    </rPh>
    <phoneticPr fontId="3"/>
  </si>
  <si>
    <t>GK</t>
    <phoneticPr fontId="3"/>
  </si>
  <si>
    <t>右</t>
    <rPh sb="0" eb="1">
      <t>ミギ</t>
    </rPh>
    <phoneticPr fontId="3"/>
  </si>
  <si>
    <t>検索</t>
    <rPh sb="0" eb="2">
      <t>ケンサク</t>
    </rPh>
    <phoneticPr fontId="3"/>
  </si>
  <si>
    <t>正</t>
    <rPh sb="0" eb="1">
      <t>セイ</t>
    </rPh>
    <phoneticPr fontId="3"/>
  </si>
  <si>
    <t>検索２</t>
    <rPh sb="0" eb="2">
      <t>ケンサク</t>
    </rPh>
    <phoneticPr fontId="3"/>
  </si>
  <si>
    <t>ユニフォーム</t>
    <phoneticPr fontId="3"/>
  </si>
  <si>
    <t>カルシオフットボールクラブ</t>
  </si>
  <si>
    <t xml:space="preserve">マッチNoと対戦は固定とします。
</t>
    <rPh sb="6" eb="8">
      <t>タイセン</t>
    </rPh>
    <rPh sb="9" eb="11">
      <t>コテイ</t>
    </rPh>
    <phoneticPr fontId="3"/>
  </si>
  <si>
    <t>更新のあった対戦については、「更新」欄に日付を記入します。</t>
    <phoneticPr fontId="3"/>
  </si>
  <si>
    <t>大阪社会人サッカー   部リーグ   ブロック</t>
    <rPh sb="0" eb="2">
      <t>オオサカ</t>
    </rPh>
    <rPh sb="2" eb="4">
      <t>シャカイ</t>
    </rPh>
    <rPh sb="4" eb="5">
      <t>ジン</t>
    </rPh>
    <rPh sb="12" eb="13">
      <t>ブ</t>
    </rPh>
    <phoneticPr fontId="3"/>
  </si>
  <si>
    <t>※日程表への入力が反映されます.</t>
    <rPh sb="1" eb="4">
      <t>ニッテイヒョウ</t>
    </rPh>
    <rPh sb="6" eb="8">
      <t>ニュウリョク</t>
    </rPh>
    <rPh sb="9" eb="11">
      <t>ハンエイ</t>
    </rPh>
    <phoneticPr fontId="3"/>
  </si>
  <si>
    <t>灰－灰－灰</t>
    <rPh sb="0" eb="1">
      <t>ハイ</t>
    </rPh>
    <rPh sb="2" eb="3">
      <t>ハイ</t>
    </rPh>
    <rPh sb="4" eb="5">
      <t>ハイ</t>
    </rPh>
    <phoneticPr fontId="3"/>
  </si>
  <si>
    <t>白－白－白</t>
  </si>
  <si>
    <t>水色－黒－水色</t>
  </si>
  <si>
    <t>青－青－青</t>
  </si>
  <si>
    <t>黄－黒－黄</t>
  </si>
  <si>
    <t>水色－水色－水色</t>
  </si>
  <si>
    <t>赤－赤－赤</t>
  </si>
  <si>
    <t>黄－黒－黒</t>
  </si>
  <si>
    <t>ピンク－黒－黒</t>
    <rPh sb="4" eb="5">
      <t>クロ</t>
    </rPh>
    <rPh sb="6" eb="7">
      <t>クロ</t>
    </rPh>
    <phoneticPr fontId="3"/>
  </si>
  <si>
    <t>チーム</t>
    <phoneticPr fontId="3"/>
  </si>
  <si>
    <t>FP</t>
    <phoneticPr fontId="3"/>
  </si>
  <si>
    <t>GK</t>
    <phoneticPr fontId="3"/>
  </si>
  <si>
    <t>月</t>
    <phoneticPr fontId="3"/>
  </si>
  <si>
    <t>日</t>
    <phoneticPr fontId="3"/>
  </si>
  <si>
    <t>阪南FC</t>
    <rPh sb="0" eb="2">
      <t>ハンナン</t>
    </rPh>
    <phoneticPr fontId="8"/>
  </si>
  <si>
    <t>BTMU</t>
  </si>
  <si>
    <t>OKFC2011</t>
  </si>
  <si>
    <t>FCボニート</t>
  </si>
  <si>
    <t>枚方フットボールクラブ</t>
    <rPh sb="0" eb="2">
      <t>ヒラカタ</t>
    </rPh>
    <phoneticPr fontId="8"/>
  </si>
  <si>
    <t>大阪ガス株式会社サッカー部</t>
    <rPh sb="0" eb="2">
      <t>オオサカ</t>
    </rPh>
    <rPh sb="4" eb="8">
      <t>カブシキガイシャ</t>
    </rPh>
    <rPh sb="12" eb="13">
      <t>ブ</t>
    </rPh>
    <phoneticPr fontId="8"/>
  </si>
  <si>
    <t>パナソニックES社サッカー部</t>
    <rPh sb="8" eb="9">
      <t>シャ</t>
    </rPh>
    <rPh sb="13" eb="14">
      <t>ブ</t>
    </rPh>
    <phoneticPr fontId="8"/>
  </si>
  <si>
    <t>エルマーノ大阪サッカークラブ</t>
    <rPh sb="5" eb="7">
      <t>オオサカ</t>
    </rPh>
    <phoneticPr fontId="8"/>
  </si>
  <si>
    <t/>
  </si>
  <si>
    <t>C</t>
    <phoneticPr fontId="3"/>
  </si>
  <si>
    <t>C</t>
    <phoneticPr fontId="3"/>
  </si>
  <si>
    <t>黄－黄－黄</t>
    <rPh sb="2" eb="3">
      <t>キ</t>
    </rPh>
    <phoneticPr fontId="3"/>
  </si>
  <si>
    <t>緑－黒－黒</t>
    <rPh sb="0" eb="1">
      <t>ミドリ</t>
    </rPh>
    <phoneticPr fontId="3"/>
  </si>
  <si>
    <t>緑－緑－緑</t>
    <rPh sb="0" eb="1">
      <t>ミドリ</t>
    </rPh>
    <phoneticPr fontId="3"/>
  </si>
  <si>
    <t>赤青縦縞－青－赤</t>
    <rPh sb="0" eb="1">
      <t>アカ</t>
    </rPh>
    <rPh sb="1" eb="2">
      <t>アオ</t>
    </rPh>
    <rPh sb="2" eb="4">
      <t>タテジマ</t>
    </rPh>
    <rPh sb="5" eb="6">
      <t>アオ</t>
    </rPh>
    <rPh sb="7" eb="8">
      <t>アカ</t>
    </rPh>
    <phoneticPr fontId="3"/>
  </si>
  <si>
    <t>赤－黒－黒</t>
    <rPh sb="2" eb="3">
      <t>クロ</t>
    </rPh>
    <rPh sb="4" eb="5">
      <t>クロ</t>
    </rPh>
    <phoneticPr fontId="3"/>
  </si>
  <si>
    <t>ピンク－ピンク－ピンク</t>
    <phoneticPr fontId="3"/>
  </si>
  <si>
    <t>白－紺－白</t>
    <rPh sb="2" eb="3">
      <t>コン</t>
    </rPh>
    <phoneticPr fontId="3"/>
  </si>
  <si>
    <t>ピンク－紺－ピンク</t>
    <rPh sb="4" eb="5">
      <t>コン</t>
    </rPh>
    <phoneticPr fontId="3"/>
  </si>
  <si>
    <t>紺－紺－紺</t>
    <rPh sb="0" eb="1">
      <t>コン</t>
    </rPh>
    <rPh sb="2" eb="3">
      <t>コン</t>
    </rPh>
    <rPh sb="4" eb="5">
      <t>コン</t>
    </rPh>
    <phoneticPr fontId="3"/>
  </si>
  <si>
    <t>水色－灰－紺</t>
    <rPh sb="0" eb="2">
      <t>ミズイロ</t>
    </rPh>
    <rPh sb="3" eb="4">
      <t>ハイ</t>
    </rPh>
    <phoneticPr fontId="3"/>
  </si>
  <si>
    <t>水色－紺－水色</t>
    <rPh sb="0" eb="2">
      <t>ミズイロ</t>
    </rPh>
    <rPh sb="3" eb="4">
      <t>コン</t>
    </rPh>
    <rPh sb="5" eb="7">
      <t>ミズイロ</t>
    </rPh>
    <phoneticPr fontId="3"/>
  </si>
  <si>
    <t>黄－黒－黄</t>
    <rPh sb="2" eb="3">
      <t>クロ</t>
    </rPh>
    <phoneticPr fontId="3"/>
  </si>
  <si>
    <t>赤－黒－赤</t>
    <rPh sb="2" eb="3">
      <t>クロ</t>
    </rPh>
    <rPh sb="4" eb="5">
      <t>アカ</t>
    </rPh>
    <phoneticPr fontId="3"/>
  </si>
  <si>
    <t>黄－青－白</t>
    <rPh sb="0" eb="1">
      <t>キ</t>
    </rPh>
    <rPh sb="4" eb="5">
      <t>シロ</t>
    </rPh>
    <phoneticPr fontId="3"/>
  </si>
  <si>
    <t>赤－白－赤</t>
    <rPh sb="0" eb="1">
      <t>アカ</t>
    </rPh>
    <rPh sb="4" eb="5">
      <t>アカ</t>
    </rPh>
    <phoneticPr fontId="3"/>
  </si>
  <si>
    <t>鶴見球技場</t>
  </si>
  <si>
    <t>北生駒スポーツセンター</t>
    <rPh sb="0" eb="1">
      <t>キタ</t>
    </rPh>
    <rPh sb="1" eb="3">
      <t>イコマ</t>
    </rPh>
    <phoneticPr fontId="3"/>
  </si>
  <si>
    <t>19:15</t>
    <phoneticPr fontId="3"/>
  </si>
  <si>
    <t>17:25</t>
  </si>
  <si>
    <t>17:25</t>
    <phoneticPr fontId="3"/>
  </si>
  <si>
    <t>17:25</t>
    <phoneticPr fontId="3"/>
  </si>
  <si>
    <t>OFA四條畷</t>
    <phoneticPr fontId="3"/>
  </si>
  <si>
    <t>9:30</t>
    <phoneticPr fontId="3"/>
  </si>
  <si>
    <t>11:30</t>
    <phoneticPr fontId="3"/>
  </si>
  <si>
    <t>正</t>
  </si>
  <si>
    <t>副</t>
  </si>
  <si>
    <t>OFA万博Ｂ</t>
    <rPh sb="3" eb="5">
      <t>バンパク</t>
    </rPh>
    <phoneticPr fontId="3"/>
  </si>
  <si>
    <t>19:00</t>
    <phoneticPr fontId="3"/>
  </si>
  <si>
    <t>大阪教員クラブ</t>
    <rPh sb="0" eb="2">
      <t>オオサカ</t>
    </rPh>
    <rPh sb="2" eb="4">
      <t>キョウイン</t>
    </rPh>
    <phoneticPr fontId="8"/>
  </si>
  <si>
    <t>カルシオフットボールクラブ</t>
    <phoneticPr fontId="8"/>
  </si>
  <si>
    <t>19:15</t>
    <phoneticPr fontId="3"/>
  </si>
  <si>
    <t>鶴見球技場</t>
    <phoneticPr fontId="3"/>
  </si>
  <si>
    <t>FCボニート</t>
    <phoneticPr fontId="8"/>
  </si>
  <si>
    <t>13:40</t>
    <phoneticPr fontId="3"/>
  </si>
  <si>
    <t>月</t>
    <phoneticPr fontId="3"/>
  </si>
  <si>
    <t>日</t>
    <phoneticPr fontId="3"/>
  </si>
  <si>
    <t>大阪ガス今津Ｇ</t>
  </si>
  <si>
    <t>大阪ガス今津Ｇ</t>
    <phoneticPr fontId="3"/>
  </si>
  <si>
    <t>服部緑地人工芝</t>
    <rPh sb="0" eb="2">
      <t>ハットリ</t>
    </rPh>
    <rPh sb="2" eb="4">
      <t>リョクチ</t>
    </rPh>
    <rPh sb="4" eb="7">
      <t>ジンコウシバ</t>
    </rPh>
    <phoneticPr fontId="3"/>
  </si>
  <si>
    <t>日</t>
    <phoneticPr fontId="3"/>
  </si>
  <si>
    <t>月</t>
    <phoneticPr fontId="3"/>
  </si>
  <si>
    <t>大阪ガス今津Ｇ</t>
    <phoneticPr fontId="3"/>
  </si>
  <si>
    <t>19:10</t>
    <phoneticPr fontId="3"/>
  </si>
  <si>
    <t>パナソニックES社サッカー部</t>
    <rPh sb="8" eb="9">
      <t>シャ</t>
    </rPh>
    <rPh sb="13" eb="14">
      <t>ブ</t>
    </rPh>
    <phoneticPr fontId="2"/>
  </si>
  <si>
    <t>9:40</t>
    <phoneticPr fontId="3"/>
  </si>
  <si>
    <t>11:20</t>
    <phoneticPr fontId="3"/>
  </si>
  <si>
    <t>13:00</t>
    <phoneticPr fontId="3"/>
  </si>
  <si>
    <t>19:15</t>
  </si>
  <si>
    <t>13:00</t>
    <phoneticPr fontId="3"/>
  </si>
  <si>
    <t>エルマーノ大阪サッカークラブ</t>
  </si>
  <si>
    <t>阪南FC</t>
  </si>
  <si>
    <t>大阪ガス株式会社サッカー部</t>
  </si>
  <si>
    <t>枚方フットボールクラブ</t>
  </si>
  <si>
    <t>パナソニックES社サッカー部</t>
  </si>
  <si>
    <t>大阪教員クラブ</t>
  </si>
  <si>
    <t>OKFCのGK色は以前と同じ</t>
    <rPh sb="7" eb="8">
      <t>イロ</t>
    </rPh>
    <rPh sb="9" eb="11">
      <t>イゼン</t>
    </rPh>
    <rPh sb="12" eb="13">
      <t>オナ</t>
    </rPh>
    <phoneticPr fontId="3"/>
  </si>
  <si>
    <t>11:20</t>
  </si>
  <si>
    <t>FCボニート</t>
    <phoneticPr fontId="2"/>
  </si>
  <si>
    <t>大阪ガス株式会社サッカー部</t>
    <rPh sb="0" eb="2">
      <t>オオサカ</t>
    </rPh>
    <rPh sb="4" eb="8">
      <t>カブシキガイシャ</t>
    </rPh>
    <rPh sb="12" eb="13">
      <t>ブ</t>
    </rPh>
    <phoneticPr fontId="2"/>
  </si>
  <si>
    <t>カルシオフットボールクラブ</t>
    <phoneticPr fontId="2"/>
  </si>
  <si>
    <t>大阪教員クラブ</t>
    <phoneticPr fontId="8"/>
  </si>
  <si>
    <t>11:20</t>
    <phoneticPr fontId="3"/>
  </si>
  <si>
    <t>OKFC2011</t>
    <phoneticPr fontId="2"/>
  </si>
  <si>
    <t>いずみスポーツヴィレッジ</t>
    <phoneticPr fontId="3"/>
  </si>
  <si>
    <t>9:40</t>
  </si>
  <si>
    <t>9:40</t>
    <phoneticPr fontId="3"/>
  </si>
  <si>
    <t>11:20</t>
    <phoneticPr fontId="3"/>
  </si>
  <si>
    <t>13:00</t>
  </si>
  <si>
    <t>⇓</t>
    <phoneticPr fontId="3"/>
  </si>
  <si>
    <t>【変更前】</t>
    <rPh sb="1" eb="3">
      <t>ヘンコウ</t>
    </rPh>
    <rPh sb="3" eb="4">
      <t>マエ</t>
    </rPh>
    <phoneticPr fontId="3"/>
  </si>
  <si>
    <t>【変更後】</t>
    <rPh sb="1" eb="3">
      <t>ヘンコウ</t>
    </rPh>
    <rPh sb="3" eb="4">
      <t>ゴ</t>
    </rPh>
    <phoneticPr fontId="3"/>
  </si>
  <si>
    <t>変更の要点</t>
    <rPh sb="0" eb="2">
      <t>ヘンコウ</t>
    </rPh>
    <rPh sb="3" eb="5">
      <t>ヨウテン</t>
    </rPh>
    <phoneticPr fontId="3"/>
  </si>
  <si>
    <t>このように対戦を移動します。</t>
    <rPh sb="5" eb="7">
      <t>タイセン</t>
    </rPh>
    <rPh sb="8" eb="10">
      <t>イドウ</t>
    </rPh>
    <phoneticPr fontId="3"/>
  </si>
  <si>
    <t>ピンク－ピンク－ピンク</t>
  </si>
  <si>
    <t>水色－紺－水色</t>
    <rPh sb="3" eb="4">
      <t>コン</t>
    </rPh>
    <phoneticPr fontId="3"/>
  </si>
  <si>
    <t>7/9豪雨中止</t>
    <rPh sb="3" eb="5">
      <t>ゴウウ</t>
    </rPh>
    <rPh sb="5" eb="7">
      <t>チュウシ</t>
    </rPh>
    <phoneticPr fontId="3"/>
  </si>
  <si>
    <t>6/29更新</t>
    <rPh sb="4" eb="6">
      <t>コウシン</t>
    </rPh>
    <phoneticPr fontId="3"/>
  </si>
  <si>
    <t>9/9更新</t>
    <rPh sb="3" eb="5">
      <t>コウシン</t>
    </rPh>
    <phoneticPr fontId="3"/>
  </si>
  <si>
    <t>月</t>
    <phoneticPr fontId="3"/>
  </si>
  <si>
    <t>日</t>
    <phoneticPr fontId="3"/>
  </si>
  <si>
    <t>15:30</t>
    <phoneticPr fontId="3"/>
  </si>
  <si>
    <t>FCボニート</t>
    <phoneticPr fontId="8"/>
  </si>
  <si>
    <t>17:20</t>
    <phoneticPr fontId="3"/>
  </si>
  <si>
    <t>18:00</t>
    <phoneticPr fontId="3"/>
  </si>
  <si>
    <t>BTMU</t>
    <phoneticPr fontId="2"/>
  </si>
  <si>
    <t>いずみスポーツヴィレッジ</t>
    <phoneticPr fontId="3"/>
  </si>
  <si>
    <t>15:20</t>
    <phoneticPr fontId="3"/>
  </si>
  <si>
    <t>阪南FC</t>
    <phoneticPr fontId="8"/>
  </si>
  <si>
    <t>10/10更新</t>
    <rPh sb="5" eb="7">
      <t>コウシン</t>
    </rPh>
    <phoneticPr fontId="3"/>
  </si>
  <si>
    <t>大阪ガス今津G</t>
    <rPh sb="0" eb="2">
      <t>オオサカ</t>
    </rPh>
    <rPh sb="4" eb="6">
      <t>イマヅ</t>
    </rPh>
    <phoneticPr fontId="3"/>
  </si>
  <si>
    <t>10:00</t>
    <phoneticPr fontId="3"/>
  </si>
  <si>
    <t>鶴見球技場</t>
    <rPh sb="0" eb="2">
      <t>ツルミ</t>
    </rPh>
    <rPh sb="2" eb="5">
      <t>キュウギジョウ</t>
    </rPh>
    <phoneticPr fontId="3"/>
  </si>
  <si>
    <t>協会派遣</t>
    <rPh sb="0" eb="2">
      <t>キョウカイ</t>
    </rPh>
    <rPh sb="2" eb="4">
      <t>ハケン</t>
    </rPh>
    <phoneticPr fontId="3"/>
  </si>
  <si>
    <t>19:20</t>
    <phoneticPr fontId="3"/>
  </si>
  <si>
    <t>11/7更新</t>
    <rPh sb="4" eb="6">
      <t>コウシン</t>
    </rPh>
    <phoneticPr fontId="3"/>
  </si>
  <si>
    <t>大阪ガス/カルシオ</t>
    <rPh sb="0" eb="2">
      <t>オオサカ</t>
    </rPh>
    <phoneticPr fontId="3"/>
  </si>
  <si>
    <t>エルマーノ/パナソニック</t>
    <phoneticPr fontId="8"/>
  </si>
  <si>
    <t>結果</t>
    <rPh sb="0" eb="2">
      <t>ケッカ</t>
    </rPh>
    <phoneticPr fontId="3"/>
  </si>
  <si>
    <t>２０１７　大阪府社会人サッカーリーグ　　　　２部</t>
    <rPh sb="7" eb="8">
      <t>フ</t>
    </rPh>
    <phoneticPr fontId="3"/>
  </si>
  <si>
    <t>２０１７　大阪府社会人サッカーリーグ　　　２部</t>
    <phoneticPr fontId="3"/>
  </si>
  <si>
    <t>２０１７　大阪府社会人サッカーリーグ　　　２部　　Cブロック　　日程表</t>
    <rPh sb="32" eb="34">
      <t>ニッテイ</t>
    </rPh>
    <rPh sb="34" eb="35">
      <t>ヒョウ</t>
    </rPh>
    <phoneticPr fontId="3"/>
  </si>
  <si>
    <t>2017/12/10　更新</t>
    <rPh sb="11" eb="13">
      <t>コウシン</t>
    </rPh>
    <phoneticPr fontId="3"/>
  </si>
</sst>
</file>

<file path=xl/styles.xml><?xml version="1.0" encoding="utf-8"?>
<styleSheet xmlns="http://schemas.openxmlformats.org/spreadsheetml/2006/main">
  <numFmts count="3">
    <numFmt numFmtId="176" formatCode="0_);[Red]\(0\)"/>
    <numFmt numFmtId="177" formatCode="0.000_ "/>
    <numFmt numFmtId="178" formatCode="&quot;(&quot;aaa&quot;)&quot;"/>
  </numFmts>
  <fonts count="24">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2"/>
      <color indexed="81"/>
      <name val="ＭＳ Ｐゴシック"/>
      <family val="3"/>
      <charset val="128"/>
    </font>
    <font>
      <sz val="11"/>
      <name val="HG丸ｺﾞｼｯｸM-PRO"/>
      <family val="3"/>
      <charset val="128"/>
    </font>
    <font>
      <sz val="10"/>
      <name val="ＭＳ Ｐゴシック"/>
      <family val="3"/>
      <charset val="128"/>
    </font>
    <font>
      <sz val="11"/>
      <name val="ＭＳ Ｐゴシック"/>
      <family val="3"/>
      <charset val="128"/>
    </font>
    <font>
      <sz val="24"/>
      <name val="ＭＳ Ｐゴシック"/>
      <family val="3"/>
      <charset val="128"/>
    </font>
    <font>
      <sz val="16"/>
      <name val="ＭＳ Ｐゴシック"/>
      <family val="3"/>
      <charset val="128"/>
    </font>
    <font>
      <u/>
      <sz val="12"/>
      <name val="ＭＳ Ｐゴシック"/>
      <family val="3"/>
      <charset val="128"/>
    </font>
    <font>
      <sz val="18"/>
      <name val="ＭＳ Ｐゴシック"/>
      <family val="3"/>
      <charset val="128"/>
    </font>
    <font>
      <sz val="14"/>
      <color indexed="9"/>
      <name val="ＭＳ Ｐゴシック"/>
      <family val="3"/>
      <charset val="128"/>
    </font>
    <font>
      <sz val="12"/>
      <color indexed="9"/>
      <name val="ＭＳ Ｐゴシック"/>
      <family val="3"/>
      <charset val="128"/>
    </font>
    <font>
      <b/>
      <sz val="12"/>
      <name val="ＭＳ Ｐゴシック"/>
      <family val="3"/>
      <charset val="128"/>
    </font>
    <font>
      <b/>
      <sz val="9"/>
      <color indexed="81"/>
      <name val="ＭＳ Ｐゴシック"/>
      <family val="3"/>
      <charset val="128"/>
    </font>
    <font>
      <b/>
      <i/>
      <sz val="16"/>
      <name val="ＭＳ Ｐゴシック"/>
      <family val="3"/>
      <charset val="128"/>
    </font>
    <font>
      <sz val="11"/>
      <color theme="1"/>
      <name val="ＭＳ Ｐゴシック"/>
      <family val="3"/>
      <charset val="128"/>
      <scheme val="minor"/>
    </font>
    <font>
      <sz val="11"/>
      <color theme="0" tint="-0.34998626667073579"/>
      <name val="ＭＳ Ｐゴシック"/>
      <family val="3"/>
      <charset val="128"/>
    </font>
    <font>
      <sz val="26"/>
      <name val="ＭＳ Ｐゴシック"/>
      <family val="3"/>
      <charset val="128"/>
    </font>
    <font>
      <sz val="11"/>
      <color rgb="FFFF0000"/>
      <name val="ＭＳ Ｐゴシック"/>
      <family val="3"/>
      <charset val="128"/>
    </font>
    <font>
      <sz val="11"/>
      <color rgb="FF0070C0"/>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9" tint="0.39997558519241921"/>
        <bgColor indexed="64"/>
      </patternFill>
    </fill>
  </fills>
  <borders count="154">
    <border>
      <left/>
      <right/>
      <top/>
      <bottom/>
      <diagonal/>
    </border>
    <border>
      <left style="hair">
        <color indexed="64"/>
      </left>
      <right style="medium">
        <color indexed="64"/>
      </right>
      <top style="medium">
        <color indexed="64"/>
      </top>
      <bottom style="thin">
        <color indexed="64"/>
      </bottom>
      <diagonal/>
    </border>
    <border>
      <left/>
      <right style="thin">
        <color indexed="64"/>
      </right>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style="thin">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thin">
        <color indexed="64"/>
      </left>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right style="hair">
        <color indexed="64"/>
      </right>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left/>
      <right/>
      <top style="medium">
        <color indexed="64"/>
      </top>
      <bottom/>
      <diagonal/>
    </border>
    <border>
      <left style="thin">
        <color indexed="64"/>
      </left>
      <right/>
      <top style="medium">
        <color indexed="64"/>
      </top>
      <bottom/>
      <diagonal/>
    </border>
    <border>
      <left/>
      <right/>
      <top style="medium">
        <color indexed="64"/>
      </top>
      <bottom style="medium">
        <color indexed="64"/>
      </bottom>
      <diagonal/>
    </border>
    <border>
      <left/>
      <right style="thin">
        <color indexed="64"/>
      </right>
      <top style="medium">
        <color indexed="64"/>
      </top>
      <bottom/>
      <diagonal/>
    </border>
    <border>
      <left/>
      <right style="hair">
        <color indexed="64"/>
      </right>
      <top style="medium">
        <color indexed="64"/>
      </top>
      <bottom/>
      <diagonal/>
    </border>
    <border>
      <left/>
      <right style="medium">
        <color indexed="64"/>
      </right>
      <top/>
      <bottom/>
      <diagonal/>
    </border>
    <border>
      <left/>
      <right style="medium">
        <color indexed="64"/>
      </right>
      <top style="medium">
        <color indexed="64"/>
      </top>
      <bottom/>
      <diagonal/>
    </border>
    <border diagonalDown="1">
      <left/>
      <right style="medium">
        <color indexed="64"/>
      </right>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thin">
        <color indexed="64"/>
      </bottom>
      <diagonal/>
    </border>
  </borders>
  <cellStyleXfs count="6">
    <xf numFmtId="0" fontId="0" fillId="0" borderId="0">
      <alignment vertical="center"/>
    </xf>
    <xf numFmtId="0" fontId="19" fillId="0" borderId="0">
      <alignment vertical="center"/>
    </xf>
    <xf numFmtId="0" fontId="2" fillId="0" borderId="0"/>
    <xf numFmtId="0" fontId="1" fillId="0" borderId="0"/>
    <xf numFmtId="0" fontId="1" fillId="0" borderId="0"/>
    <xf numFmtId="0" fontId="2" fillId="0" borderId="0"/>
  </cellStyleXfs>
  <cellXfs count="483">
    <xf numFmtId="0" fontId="0" fillId="0" borderId="0" xfId="0">
      <alignment vertical="center"/>
    </xf>
    <xf numFmtId="0" fontId="5" fillId="0" borderId="0" xfId="2" applyFont="1"/>
    <xf numFmtId="0" fontId="7" fillId="0" borderId="0" xfId="5" applyFont="1" applyAlignment="1">
      <alignment vertical="center"/>
    </xf>
    <xf numFmtId="0" fontId="2" fillId="0" borderId="0" xfId="5" applyAlignment="1">
      <alignment horizontal="center" vertical="center"/>
    </xf>
    <xf numFmtId="0" fontId="2" fillId="0" borderId="0" xfId="5"/>
    <xf numFmtId="0" fontId="8" fillId="0" borderId="1" xfId="5" applyFont="1" applyBorder="1" applyAlignment="1">
      <alignment horizontal="center" vertical="center"/>
    </xf>
    <xf numFmtId="0" fontId="2" fillId="0" borderId="2" xfId="5" applyBorder="1" applyAlignment="1">
      <alignment horizontal="center" vertical="center"/>
    </xf>
    <xf numFmtId="0" fontId="2" fillId="0" borderId="3" xfId="5" applyBorder="1" applyAlignment="1">
      <alignment horizontal="center" vertical="center"/>
    </xf>
    <xf numFmtId="0" fontId="2" fillId="0" borderId="4" xfId="5" applyBorder="1" applyAlignment="1">
      <alignment horizontal="center" vertical="center"/>
    </xf>
    <xf numFmtId="0" fontId="2" fillId="0" borderId="5" xfId="5" applyBorder="1" applyAlignment="1">
      <alignment horizontal="center" vertical="center"/>
    </xf>
    <xf numFmtId="0" fontId="2" fillId="0" borderId="6" xfId="5" applyBorder="1" applyAlignment="1">
      <alignment horizontal="center" vertical="center"/>
    </xf>
    <xf numFmtId="0" fontId="2" fillId="0" borderId="7" xfId="5" applyBorder="1" applyAlignment="1">
      <alignment horizontal="center" vertical="center"/>
    </xf>
    <xf numFmtId="0" fontId="2" fillId="0" borderId="8" xfId="5" applyBorder="1" applyAlignment="1">
      <alignment horizontal="center" vertical="center"/>
    </xf>
    <xf numFmtId="0" fontId="2" fillId="0" borderId="9" xfId="5" applyBorder="1" applyAlignment="1">
      <alignment horizontal="center" vertical="center"/>
    </xf>
    <xf numFmtId="0" fontId="2" fillId="0" borderId="10" xfId="5" applyBorder="1" applyAlignment="1">
      <alignment horizontal="center" vertical="center"/>
    </xf>
    <xf numFmtId="0" fontId="2" fillId="0" borderId="11" xfId="5" applyBorder="1" applyAlignment="1">
      <alignment horizontal="center" vertical="center"/>
    </xf>
    <xf numFmtId="0" fontId="2" fillId="0" borderId="12" xfId="5" applyBorder="1" applyAlignment="1">
      <alignment horizontal="center" vertical="center"/>
    </xf>
    <xf numFmtId="0" fontId="2" fillId="0" borderId="13" xfId="5" applyBorder="1" applyAlignment="1">
      <alignment horizontal="center" vertical="center"/>
    </xf>
    <xf numFmtId="0" fontId="2" fillId="0" borderId="14" xfId="5" applyBorder="1" applyAlignment="1">
      <alignment horizontal="center" vertical="center"/>
    </xf>
    <xf numFmtId="0" fontId="2" fillId="0" borderId="15" xfId="5" applyBorder="1" applyAlignment="1">
      <alignment horizontal="center" vertical="center"/>
    </xf>
    <xf numFmtId="0" fontId="2" fillId="0" borderId="0" xfId="5" applyAlignment="1">
      <alignment vertical="center"/>
    </xf>
    <xf numFmtId="0" fontId="2" fillId="0" borderId="16" xfId="5" applyBorder="1" applyAlignment="1">
      <alignment horizontal="center" vertical="center"/>
    </xf>
    <xf numFmtId="0" fontId="2" fillId="0" borderId="17" xfId="5" applyBorder="1" applyAlignment="1">
      <alignment horizontal="center" vertical="center"/>
    </xf>
    <xf numFmtId="0" fontId="2" fillId="0" borderId="18" xfId="5" applyBorder="1" applyAlignment="1">
      <alignment horizontal="center" vertical="center"/>
    </xf>
    <xf numFmtId="0" fontId="2" fillId="0" borderId="19" xfId="5" applyBorder="1" applyAlignment="1">
      <alignment horizontal="center" vertical="center"/>
    </xf>
    <xf numFmtId="0" fontId="8" fillId="0" borderId="20" xfId="5" applyFont="1" applyBorder="1" applyAlignment="1">
      <alignment horizontal="center" vertical="center"/>
    </xf>
    <xf numFmtId="0" fontId="8" fillId="0" borderId="21" xfId="5" applyFont="1" applyBorder="1" applyAlignment="1">
      <alignment horizontal="center" vertical="center"/>
    </xf>
    <xf numFmtId="0" fontId="8" fillId="0" borderId="22" xfId="5" applyFont="1" applyBorder="1" applyAlignment="1">
      <alignment horizontal="center" vertical="center"/>
    </xf>
    <xf numFmtId="0" fontId="8" fillId="0" borderId="23" xfId="5" applyFont="1" applyBorder="1" applyAlignment="1">
      <alignment horizontal="center" vertical="center"/>
    </xf>
    <xf numFmtId="0" fontId="8" fillId="0" borderId="0" xfId="5" applyFont="1"/>
    <xf numFmtId="0" fontId="2" fillId="0" borderId="24" xfId="5" applyBorder="1" applyAlignment="1">
      <alignment horizontal="center" vertical="center"/>
    </xf>
    <xf numFmtId="0" fontId="2" fillId="0" borderId="25" xfId="5" applyBorder="1" applyAlignment="1">
      <alignment horizontal="center" vertical="center"/>
    </xf>
    <xf numFmtId="0" fontId="2" fillId="0" borderId="26" xfId="5" applyBorder="1" applyAlignment="1">
      <alignment horizontal="center" vertical="center"/>
    </xf>
    <xf numFmtId="0" fontId="5" fillId="0" borderId="0" xfId="2" applyFont="1" applyAlignment="1">
      <alignment horizontal="center" vertical="center"/>
    </xf>
    <xf numFmtId="0" fontId="5" fillId="0" borderId="27" xfId="2" applyFont="1" applyBorder="1" applyAlignment="1">
      <alignment horizontal="center" vertical="center"/>
    </xf>
    <xf numFmtId="0" fontId="5" fillId="0" borderId="28" xfId="2" applyFont="1" applyBorder="1" applyAlignment="1">
      <alignment horizontal="center" vertical="center"/>
    </xf>
    <xf numFmtId="0" fontId="5" fillId="0" borderId="29" xfId="2" applyFont="1" applyBorder="1" applyAlignment="1" applyProtection="1">
      <alignment horizontal="center" vertical="center"/>
      <protection locked="0"/>
    </xf>
    <xf numFmtId="0" fontId="5" fillId="0" borderId="0" xfId="2" applyFont="1" applyBorder="1" applyAlignment="1">
      <alignment horizontal="center" vertical="center"/>
    </xf>
    <xf numFmtId="0" fontId="5" fillId="0" borderId="0" xfId="2" applyFont="1" applyBorder="1" applyAlignment="1" applyProtection="1">
      <alignment horizontal="center" vertical="center"/>
      <protection locked="0"/>
    </xf>
    <xf numFmtId="0" fontId="5" fillId="0" borderId="30" xfId="2" applyFont="1" applyBorder="1" applyAlignment="1">
      <alignment horizontal="center" vertical="center"/>
    </xf>
    <xf numFmtId="0" fontId="5" fillId="0" borderId="29" xfId="2" applyFont="1" applyBorder="1" applyAlignment="1">
      <alignment horizontal="center" vertical="center"/>
    </xf>
    <xf numFmtId="0" fontId="8" fillId="0" borderId="0" xfId="2" applyFont="1"/>
    <xf numFmtId="0" fontId="5" fillId="0" borderId="31" xfId="2" applyFont="1" applyBorder="1" applyAlignment="1">
      <alignment horizontal="center" vertical="center"/>
    </xf>
    <xf numFmtId="0" fontId="5" fillId="0" borderId="32" xfId="2" applyFont="1" applyBorder="1" applyAlignment="1">
      <alignment horizontal="center" vertical="center"/>
    </xf>
    <xf numFmtId="0" fontId="5" fillId="0" borderId="33" xfId="2" applyFont="1" applyBorder="1" applyAlignment="1">
      <alignment horizontal="center" vertical="center"/>
    </xf>
    <xf numFmtId="0" fontId="5" fillId="0" borderId="34" xfId="2" applyFont="1" applyBorder="1" applyAlignment="1">
      <alignment horizontal="center" vertical="center"/>
    </xf>
    <xf numFmtId="0" fontId="5" fillId="0" borderId="34" xfId="2" applyFont="1" applyBorder="1" applyAlignment="1" applyProtection="1">
      <alignment horizontal="center" vertical="center"/>
      <protection locked="0"/>
    </xf>
    <xf numFmtId="0" fontId="5" fillId="0" borderId="0" xfId="2" applyFont="1" applyBorder="1"/>
    <xf numFmtId="0" fontId="5" fillId="0" borderId="0" xfId="3" applyFont="1" applyAlignment="1">
      <alignment horizontal="center" vertical="center"/>
    </xf>
    <xf numFmtId="0" fontId="5" fillId="0" borderId="28" xfId="3" applyFont="1" applyBorder="1" applyAlignment="1">
      <alignment horizontal="center" vertical="center"/>
    </xf>
    <xf numFmtId="0" fontId="5" fillId="0" borderId="28" xfId="3" applyFont="1" applyFill="1" applyBorder="1" applyAlignment="1">
      <alignment vertical="center"/>
    </xf>
    <xf numFmtId="0" fontId="5" fillId="0" borderId="0" xfId="3" applyFont="1"/>
    <xf numFmtId="0" fontId="0" fillId="0" borderId="0" xfId="0" applyAlignment="1">
      <alignment horizontal="center" vertical="center"/>
    </xf>
    <xf numFmtId="0" fontId="5" fillId="0" borderId="0" xfId="3" applyFont="1" applyFill="1" applyAlignment="1">
      <alignment horizontal="center" vertical="center"/>
    </xf>
    <xf numFmtId="0" fontId="5" fillId="0" borderId="0" xfId="2" applyFont="1" applyFill="1"/>
    <xf numFmtId="0" fontId="5" fillId="0" borderId="35" xfId="2" applyFont="1" applyBorder="1" applyAlignment="1">
      <alignment horizontal="center" vertical="center"/>
    </xf>
    <xf numFmtId="0" fontId="5" fillId="0" borderId="36" xfId="2" applyFont="1" applyBorder="1" applyAlignment="1">
      <alignment horizontal="center" vertical="center"/>
    </xf>
    <xf numFmtId="0" fontId="5" fillId="0" borderId="12" xfId="2" applyFont="1" applyBorder="1" applyAlignment="1">
      <alignment horizontal="center" vertical="center"/>
    </xf>
    <xf numFmtId="0" fontId="5" fillId="0" borderId="28" xfId="3" applyFont="1" applyFill="1" applyBorder="1" applyAlignment="1">
      <alignment horizontal="center" vertical="center"/>
    </xf>
    <xf numFmtId="0" fontId="11" fillId="0" borderId="37" xfId="0" applyFont="1" applyBorder="1">
      <alignment vertical="center"/>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1" fillId="0" borderId="39" xfId="0" applyFont="1" applyBorder="1" applyAlignment="1">
      <alignment horizontal="center" vertical="center"/>
    </xf>
    <xf numFmtId="0" fontId="11"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13" fillId="0" borderId="37" xfId="0" applyFont="1" applyBorder="1" applyAlignment="1">
      <alignment horizontal="center" vertical="center"/>
    </xf>
    <xf numFmtId="0" fontId="5" fillId="0" borderId="41" xfId="2" applyFont="1" applyBorder="1" applyAlignment="1">
      <alignment horizontal="center" vertical="center"/>
    </xf>
    <xf numFmtId="0" fontId="5" fillId="0" borderId="42" xfId="2" applyFont="1" applyBorder="1" applyAlignment="1">
      <alignment horizontal="center" vertical="center"/>
    </xf>
    <xf numFmtId="0" fontId="5" fillId="0" borderId="43" xfId="2" applyFont="1" applyBorder="1" applyAlignment="1">
      <alignment horizontal="center" vertical="center"/>
    </xf>
    <xf numFmtId="0" fontId="5" fillId="0" borderId="44" xfId="2" applyFont="1" applyBorder="1" applyAlignment="1">
      <alignment horizontal="center" vertical="center"/>
    </xf>
    <xf numFmtId="0" fontId="5" fillId="0" borderId="45" xfId="2" applyFont="1" applyBorder="1" applyAlignment="1">
      <alignment horizontal="center" vertical="center"/>
    </xf>
    <xf numFmtId="0" fontId="5" fillId="0" borderId="46" xfId="2" applyFont="1" applyBorder="1" applyAlignment="1">
      <alignment horizontal="center" vertical="center"/>
    </xf>
    <xf numFmtId="0" fontId="5" fillId="0" borderId="0" xfId="3" applyFont="1" applyAlignment="1">
      <alignment vertical="center"/>
    </xf>
    <xf numFmtId="14" fontId="15" fillId="0" borderId="0" xfId="2" applyNumberFormat="1" applyFont="1"/>
    <xf numFmtId="14" fontId="15" fillId="0" borderId="0" xfId="3" applyNumberFormat="1" applyFont="1" applyAlignment="1">
      <alignment horizontal="center" vertical="center"/>
    </xf>
    <xf numFmtId="0" fontId="5" fillId="0" borderId="33" xfId="2" applyFont="1" applyBorder="1" applyAlignment="1" applyProtection="1">
      <alignment horizontal="center" vertical="center"/>
      <protection locked="0"/>
    </xf>
    <xf numFmtId="0" fontId="5" fillId="0" borderId="27" xfId="3" applyFont="1" applyBorder="1" applyAlignment="1">
      <alignment horizontal="center" vertical="center" shrinkToFit="1"/>
    </xf>
    <xf numFmtId="0" fontId="8" fillId="2" borderId="47" xfId="3" applyFont="1" applyFill="1" applyBorder="1" applyAlignment="1">
      <alignment horizontal="center" vertical="center" shrinkToFit="1"/>
    </xf>
    <xf numFmtId="0" fontId="8" fillId="2" borderId="48" xfId="3" applyFont="1" applyFill="1" applyBorder="1" applyAlignment="1">
      <alignment horizontal="center" vertical="center" shrinkToFit="1"/>
    </xf>
    <xf numFmtId="0" fontId="8" fillId="2" borderId="5" xfId="3" applyFont="1" applyFill="1" applyBorder="1" applyAlignment="1">
      <alignment horizontal="center" vertical="center" shrinkToFit="1"/>
    </xf>
    <xf numFmtId="0" fontId="5" fillId="0" borderId="37" xfId="3" applyFont="1" applyBorder="1"/>
    <xf numFmtId="0" fontId="0" fillId="0" borderId="0" xfId="0" applyFill="1" applyAlignment="1">
      <alignment horizontal="center" vertical="center"/>
    </xf>
    <xf numFmtId="0" fontId="8" fillId="2" borderId="49" xfId="3" applyFont="1" applyFill="1" applyBorder="1" applyAlignment="1">
      <alignment horizontal="center" vertical="center" shrinkToFit="1"/>
    </xf>
    <xf numFmtId="0" fontId="8" fillId="2" borderId="50" xfId="3" applyFont="1" applyFill="1" applyBorder="1" applyAlignment="1">
      <alignment horizontal="center" vertical="center" shrinkToFit="1"/>
    </xf>
    <xf numFmtId="0" fontId="5" fillId="0" borderId="32" xfId="2" applyFont="1" applyBorder="1" applyAlignment="1" applyProtection="1">
      <alignment horizontal="center" vertical="center"/>
      <protection locked="0"/>
    </xf>
    <xf numFmtId="0" fontId="5" fillId="0" borderId="51" xfId="2" applyFont="1" applyBorder="1" applyAlignment="1" applyProtection="1">
      <alignment horizontal="center" vertical="center"/>
      <protection locked="0"/>
    </xf>
    <xf numFmtId="0" fontId="5" fillId="0" borderId="36" xfId="2" applyFont="1" applyBorder="1" applyAlignment="1" applyProtection="1">
      <alignment horizontal="center" vertical="center"/>
      <protection locked="0"/>
    </xf>
    <xf numFmtId="0" fontId="5" fillId="0" borderId="28" xfId="2" applyFont="1" applyBorder="1" applyAlignment="1" applyProtection="1">
      <alignment horizontal="center" vertical="center"/>
      <protection locked="0"/>
    </xf>
    <xf numFmtId="0" fontId="0" fillId="0" borderId="52" xfId="0" applyFill="1" applyBorder="1" applyAlignment="1" applyProtection="1">
      <alignment horizontal="center" vertical="center" shrinkToFit="1"/>
      <protection locked="0"/>
    </xf>
    <xf numFmtId="0" fontId="0" fillId="0" borderId="53" xfId="0" applyFill="1" applyBorder="1" applyAlignment="1" applyProtection="1">
      <alignment horizontal="center" vertical="center" shrinkToFit="1"/>
      <protection locked="0"/>
    </xf>
    <xf numFmtId="0" fontId="0" fillId="0" borderId="54" xfId="0" applyFill="1" applyBorder="1" applyAlignment="1" applyProtection="1">
      <alignment horizontal="center" vertical="center" shrinkToFit="1"/>
      <protection locked="0"/>
    </xf>
    <xf numFmtId="0" fontId="0" fillId="0" borderId="55" xfId="0" applyFill="1" applyBorder="1" applyAlignment="1" applyProtection="1">
      <alignment horizontal="center" vertical="center" shrinkToFit="1"/>
      <protection locked="0"/>
    </xf>
    <xf numFmtId="0" fontId="0" fillId="0" borderId="56" xfId="0" applyFill="1" applyBorder="1" applyAlignment="1" applyProtection="1">
      <alignment horizontal="center" vertical="center" shrinkToFit="1"/>
      <protection locked="0"/>
    </xf>
    <xf numFmtId="0" fontId="9" fillId="0" borderId="57" xfId="0" applyFont="1" applyFill="1" applyBorder="1" applyAlignment="1" applyProtection="1">
      <alignment horizontal="center" vertical="center" shrinkToFit="1"/>
      <protection locked="0"/>
    </xf>
    <xf numFmtId="49" fontId="0" fillId="0" borderId="58" xfId="0" applyNumberFormat="1" applyFill="1" applyBorder="1" applyAlignment="1" applyProtection="1">
      <alignment horizontal="center" vertical="center" shrinkToFit="1"/>
      <protection locked="0"/>
    </xf>
    <xf numFmtId="0" fontId="0" fillId="0" borderId="59" xfId="0" applyFill="1" applyBorder="1" applyAlignment="1" applyProtection="1">
      <alignment horizontal="center" vertical="center" shrinkToFit="1"/>
      <protection locked="0"/>
    </xf>
    <xf numFmtId="0" fontId="0" fillId="0" borderId="4" xfId="0" applyFill="1" applyBorder="1" applyAlignment="1" applyProtection="1">
      <alignment horizontal="right" vertical="center" shrinkToFit="1"/>
      <protection locked="0"/>
    </xf>
    <xf numFmtId="0" fontId="0" fillId="0" borderId="60" xfId="0" applyFill="1" applyBorder="1" applyAlignment="1" applyProtection="1">
      <alignment horizontal="center" vertical="center" shrinkToFit="1"/>
      <protection locked="0"/>
    </xf>
    <xf numFmtId="0" fontId="0" fillId="0" borderId="60" xfId="0" applyFill="1" applyBorder="1" applyAlignment="1" applyProtection="1">
      <alignment horizontal="right" vertical="center" shrinkToFit="1"/>
      <protection locked="0"/>
    </xf>
    <xf numFmtId="178" fontId="0" fillId="0" borderId="61" xfId="0" applyNumberFormat="1" applyFill="1" applyBorder="1" applyAlignment="1" applyProtection="1">
      <alignment horizontal="center" vertical="center" shrinkToFit="1"/>
      <protection locked="0"/>
    </xf>
    <xf numFmtId="0" fontId="0" fillId="0" borderId="3" xfId="0" applyFill="1" applyBorder="1" applyAlignment="1" applyProtection="1">
      <alignment horizontal="center" vertical="center" shrinkToFit="1"/>
      <protection locked="0"/>
    </xf>
    <xf numFmtId="49" fontId="0" fillId="0" borderId="4" xfId="0" applyNumberFormat="1" applyFill="1" applyBorder="1" applyAlignment="1" applyProtection="1">
      <alignment horizontal="center" vertical="center" shrinkToFit="1"/>
      <protection locked="0"/>
    </xf>
    <xf numFmtId="0" fontId="0" fillId="0" borderId="4" xfId="0" quotePrefix="1" applyFill="1" applyBorder="1" applyAlignment="1" applyProtection="1">
      <alignment horizontal="center" vertical="center" shrinkToFit="1"/>
      <protection locked="0"/>
    </xf>
    <xf numFmtId="0" fontId="0" fillId="0" borderId="61" xfId="0" quotePrefix="1" applyFill="1" applyBorder="1" applyAlignment="1" applyProtection="1">
      <alignment horizontal="center" vertical="center" shrinkToFit="1"/>
      <protection locked="0"/>
    </xf>
    <xf numFmtId="49" fontId="0" fillId="0" borderId="62" xfId="0" applyNumberFormat="1" applyFill="1" applyBorder="1" applyAlignment="1" applyProtection="1">
      <alignment horizontal="center" vertical="center" shrinkToFit="1"/>
      <protection locked="0"/>
    </xf>
    <xf numFmtId="0" fontId="0" fillId="0" borderId="63" xfId="0" applyFill="1" applyBorder="1" applyAlignment="1" applyProtection="1">
      <alignment horizontal="center" vertical="center" shrinkToFit="1"/>
      <protection locked="0"/>
    </xf>
    <xf numFmtId="0" fontId="0" fillId="0" borderId="7" xfId="0" applyFill="1" applyBorder="1" applyAlignment="1" applyProtection="1">
      <alignment horizontal="right" vertical="center" shrinkToFit="1"/>
      <protection locked="0"/>
    </xf>
    <xf numFmtId="0" fontId="0" fillId="0" borderId="64" xfId="0" applyFill="1" applyBorder="1" applyAlignment="1" applyProtection="1">
      <alignment horizontal="center" vertical="center" shrinkToFit="1"/>
      <protection locked="0"/>
    </xf>
    <xf numFmtId="0" fontId="0" fillId="0" borderId="64" xfId="0" applyFill="1" applyBorder="1" applyAlignment="1" applyProtection="1">
      <alignment horizontal="right" vertical="center" shrinkToFit="1"/>
      <protection locked="0"/>
    </xf>
    <xf numFmtId="178" fontId="0" fillId="0" borderId="65" xfId="0" applyNumberFormat="1" applyFill="1" applyBorder="1" applyAlignment="1" applyProtection="1">
      <alignment horizontal="center" vertical="center" shrinkToFit="1"/>
      <protection locked="0"/>
    </xf>
    <xf numFmtId="0" fontId="0" fillId="0" borderId="6" xfId="0" applyFill="1" applyBorder="1" applyAlignment="1" applyProtection="1">
      <alignment horizontal="center" vertical="center" shrinkToFit="1"/>
      <protection locked="0"/>
    </xf>
    <xf numFmtId="49" fontId="0" fillId="0" borderId="7" xfId="0" applyNumberFormat="1" applyFill="1" applyBorder="1" applyAlignment="1" applyProtection="1">
      <alignment horizontal="center" vertical="center" shrinkToFit="1"/>
      <protection locked="0"/>
    </xf>
    <xf numFmtId="0" fontId="0" fillId="0" borderId="6" xfId="0" applyFont="1" applyFill="1" applyBorder="1" applyAlignment="1" applyProtection="1">
      <alignment horizontal="center" vertical="center" shrinkToFit="1"/>
      <protection locked="0"/>
    </xf>
    <xf numFmtId="0" fontId="0" fillId="0" borderId="66" xfId="0" applyFill="1" applyBorder="1" applyAlignment="1" applyProtection="1">
      <alignment horizontal="center" vertical="center" shrinkToFit="1"/>
      <protection locked="0"/>
    </xf>
    <xf numFmtId="0" fontId="0" fillId="0" borderId="10" xfId="0" applyFill="1" applyBorder="1" applyAlignment="1" applyProtection="1">
      <alignment horizontal="right" vertical="center" shrinkToFit="1"/>
      <protection locked="0"/>
    </xf>
    <xf numFmtId="0" fontId="0" fillId="0" borderId="67" xfId="0" applyFill="1" applyBorder="1" applyAlignment="1" applyProtection="1">
      <alignment horizontal="center" vertical="center" shrinkToFit="1"/>
      <protection locked="0"/>
    </xf>
    <xf numFmtId="0" fontId="0" fillId="0" borderId="67" xfId="0" applyFill="1" applyBorder="1" applyAlignment="1" applyProtection="1">
      <alignment horizontal="right" vertical="center" shrinkToFit="1"/>
      <protection locked="0"/>
    </xf>
    <xf numFmtId="178" fontId="0" fillId="0" borderId="68" xfId="0" applyNumberFormat="1" applyFill="1" applyBorder="1" applyAlignment="1" applyProtection="1">
      <alignment horizontal="center" vertical="center" shrinkToFit="1"/>
      <protection locked="0"/>
    </xf>
    <xf numFmtId="0" fontId="0" fillId="0" borderId="9" xfId="0" applyFill="1" applyBorder="1" applyAlignment="1" applyProtection="1">
      <alignment horizontal="center" vertical="center" shrinkToFit="1"/>
      <protection locked="0"/>
    </xf>
    <xf numFmtId="0" fontId="0" fillId="0" borderId="69" xfId="0" applyFill="1" applyBorder="1" applyAlignment="1" applyProtection="1">
      <alignment horizontal="center" vertical="center" shrinkToFit="1"/>
      <protection locked="0"/>
    </xf>
    <xf numFmtId="176" fontId="5" fillId="0" borderId="37" xfId="3" applyNumberFormat="1" applyFont="1" applyBorder="1"/>
    <xf numFmtId="0" fontId="0" fillId="0" borderId="70" xfId="0" applyFill="1" applyBorder="1" applyAlignment="1" applyProtection="1">
      <alignment horizontal="center" vertical="center" shrinkToFit="1"/>
      <protection locked="0"/>
    </xf>
    <xf numFmtId="0" fontId="0" fillId="0" borderId="71" xfId="0" applyFill="1" applyBorder="1" applyAlignment="1" applyProtection="1">
      <alignment horizontal="center" vertical="center" shrinkToFit="1"/>
      <protection locked="0"/>
    </xf>
    <xf numFmtId="0" fontId="0" fillId="0" borderId="61" xfId="0" applyFill="1" applyBorder="1" applyAlignment="1" applyProtection="1">
      <alignment horizontal="center" vertical="center" shrinkToFit="1"/>
      <protection locked="0"/>
    </xf>
    <xf numFmtId="0" fontId="0" fillId="0" borderId="73" xfId="0" applyFill="1" applyBorder="1" applyAlignment="1" applyProtection="1">
      <alignment horizontal="center" vertical="center" shrinkToFit="1"/>
      <protection locked="0"/>
    </xf>
    <xf numFmtId="0" fontId="0" fillId="0" borderId="74" xfId="0" applyFill="1" applyBorder="1" applyAlignment="1" applyProtection="1">
      <alignment horizontal="center" vertical="center" shrinkToFit="1"/>
      <protection locked="0"/>
    </xf>
    <xf numFmtId="0" fontId="0" fillId="0" borderId="76" xfId="0" applyFill="1" applyBorder="1" applyAlignment="1" applyProtection="1">
      <alignment horizontal="center" vertical="center" shrinkToFit="1"/>
      <protection locked="0"/>
    </xf>
    <xf numFmtId="0" fontId="0" fillId="0" borderId="77" xfId="0" applyFill="1" applyBorder="1" applyAlignment="1" applyProtection="1">
      <alignment horizontal="center" vertical="center" shrinkToFit="1"/>
      <protection locked="0"/>
    </xf>
    <xf numFmtId="0" fontId="0" fillId="0" borderId="3" xfId="0" applyFont="1" applyFill="1" applyBorder="1" applyAlignment="1" applyProtection="1">
      <alignment horizontal="center" vertical="center" shrinkToFit="1"/>
      <protection locked="0"/>
    </xf>
    <xf numFmtId="0" fontId="0" fillId="0" borderId="60" xfId="0" applyFont="1" applyFill="1" applyBorder="1" applyAlignment="1" applyProtection="1">
      <alignment horizontal="center" vertical="center" shrinkToFit="1"/>
      <protection locked="0"/>
    </xf>
    <xf numFmtId="0" fontId="0" fillId="0" borderId="78" xfId="0" quotePrefix="1" applyFill="1" applyBorder="1" applyAlignment="1" applyProtection="1">
      <alignment horizontal="center" vertical="center" shrinkToFit="1"/>
      <protection locked="0"/>
    </xf>
    <xf numFmtId="0" fontId="0" fillId="0" borderId="79" xfId="0" applyFill="1" applyBorder="1" applyAlignment="1" applyProtection="1">
      <alignment horizontal="center" vertical="center" shrinkToFit="1"/>
      <protection locked="0"/>
    </xf>
    <xf numFmtId="0" fontId="0" fillId="0" borderId="80" xfId="0" quotePrefix="1" applyFill="1" applyBorder="1" applyAlignment="1" applyProtection="1">
      <alignment horizontal="center" vertical="center" shrinkToFit="1"/>
      <protection locked="0"/>
    </xf>
    <xf numFmtId="0" fontId="0" fillId="0" borderId="81" xfId="0" applyFill="1" applyBorder="1" applyAlignment="1" applyProtection="1">
      <alignment horizontal="center" vertical="center" shrinkToFit="1"/>
      <protection locked="0"/>
    </xf>
    <xf numFmtId="0" fontId="0" fillId="0" borderId="58" xfId="0" applyFill="1" applyBorder="1" applyAlignment="1" applyProtection="1">
      <alignment horizontal="center" vertical="center" shrinkToFit="1"/>
      <protection locked="0"/>
    </xf>
    <xf numFmtId="0" fontId="0" fillId="0" borderId="62" xfId="0" applyFill="1" applyBorder="1" applyAlignment="1" applyProtection="1">
      <alignment horizontal="center" vertical="center" shrinkToFit="1"/>
      <protection locked="0"/>
    </xf>
    <xf numFmtId="0" fontId="0" fillId="0" borderId="82" xfId="0" applyFill="1" applyBorder="1" applyAlignment="1" applyProtection="1">
      <alignment horizontal="center" vertical="center" shrinkToFit="1"/>
      <protection locked="0"/>
    </xf>
    <xf numFmtId="0" fontId="0" fillId="0" borderId="83" xfId="0" applyFill="1" applyBorder="1" applyAlignment="1" applyProtection="1">
      <alignment horizontal="center" vertical="center" shrinkToFit="1"/>
      <protection locked="0"/>
    </xf>
    <xf numFmtId="0" fontId="0" fillId="0" borderId="84" xfId="0" applyFill="1" applyBorder="1" applyAlignment="1" applyProtection="1">
      <alignment horizontal="right" vertical="center" shrinkToFit="1"/>
      <protection locked="0"/>
    </xf>
    <xf numFmtId="0" fontId="0" fillId="0" borderId="85" xfId="0" applyFill="1" applyBorder="1" applyAlignment="1" applyProtection="1">
      <alignment horizontal="center" vertical="center" shrinkToFit="1"/>
      <protection locked="0"/>
    </xf>
    <xf numFmtId="0" fontId="0" fillId="0" borderId="85" xfId="0" applyFill="1" applyBorder="1" applyAlignment="1" applyProtection="1">
      <alignment horizontal="right" vertical="center" shrinkToFit="1"/>
      <protection locked="0"/>
    </xf>
    <xf numFmtId="178" fontId="0" fillId="0" borderId="86" xfId="0" applyNumberFormat="1" applyFill="1" applyBorder="1" applyAlignment="1" applyProtection="1">
      <alignment horizontal="center" vertical="center" shrinkToFit="1"/>
      <protection locked="0"/>
    </xf>
    <xf numFmtId="0" fontId="0" fillId="0" borderId="87" xfId="0" applyFill="1" applyBorder="1" applyAlignment="1" applyProtection="1">
      <alignment horizontal="center" vertical="center" shrinkToFit="1"/>
      <protection locked="0"/>
    </xf>
    <xf numFmtId="49" fontId="0" fillId="0" borderId="84" xfId="0" applyNumberFormat="1" applyFill="1" applyBorder="1" applyAlignment="1" applyProtection="1">
      <alignment horizontal="center" vertical="center" shrinkToFit="1"/>
      <protection locked="0"/>
    </xf>
    <xf numFmtId="0" fontId="0" fillId="0" borderId="88" xfId="0" applyFill="1" applyBorder="1" applyAlignment="1" applyProtection="1">
      <alignment horizontal="center" vertical="center" shrinkToFit="1"/>
      <protection locked="0"/>
    </xf>
    <xf numFmtId="0" fontId="0" fillId="0" borderId="84" xfId="0" quotePrefix="1" applyFill="1" applyBorder="1" applyAlignment="1" applyProtection="1">
      <alignment horizontal="center" vertical="center" shrinkToFit="1"/>
      <protection locked="0"/>
    </xf>
    <xf numFmtId="0" fontId="0" fillId="0" borderId="86" xfId="0" quotePrefix="1" applyFill="1" applyBorder="1" applyAlignment="1" applyProtection="1">
      <alignment horizontal="center" vertical="center" shrinkToFit="1"/>
      <protection locked="0"/>
    </xf>
    <xf numFmtId="0" fontId="0" fillId="0" borderId="89" xfId="0" applyFill="1" applyBorder="1" applyAlignment="1" applyProtection="1">
      <alignment horizontal="center" vertical="center" shrinkToFit="1"/>
      <protection locked="0"/>
    </xf>
    <xf numFmtId="0" fontId="0" fillId="0" borderId="85" xfId="0" applyFont="1" applyFill="1" applyBorder="1" applyAlignment="1" applyProtection="1">
      <alignment horizontal="center" vertical="center" shrinkToFit="1"/>
      <protection locked="0"/>
    </xf>
    <xf numFmtId="0" fontId="0" fillId="0" borderId="87" xfId="0" applyFont="1" applyFill="1" applyBorder="1" applyAlignment="1" applyProtection="1">
      <alignment horizontal="center" vertical="center" shrinkToFit="1"/>
      <protection locked="0"/>
    </xf>
    <xf numFmtId="0" fontId="0" fillId="0" borderId="86" xfId="0" applyFill="1" applyBorder="1" applyAlignment="1" applyProtection="1">
      <alignment horizontal="center" vertical="center" shrinkToFit="1"/>
      <protection locked="0"/>
    </xf>
    <xf numFmtId="0" fontId="0" fillId="0" borderId="49" xfId="0" applyFill="1" applyBorder="1" applyAlignment="1" applyProtection="1">
      <alignment horizontal="center" vertical="center" shrinkToFit="1"/>
      <protection locked="0"/>
    </xf>
    <xf numFmtId="0" fontId="0" fillId="0" borderId="90" xfId="0" applyFill="1" applyBorder="1" applyAlignment="1" applyProtection="1">
      <alignment horizontal="center" vertical="center" shrinkToFit="1"/>
      <protection locked="0"/>
    </xf>
    <xf numFmtId="0" fontId="0" fillId="0" borderId="0" xfId="0" applyFill="1" applyBorder="1" applyAlignment="1">
      <alignment horizontal="center" vertical="center"/>
    </xf>
    <xf numFmtId="0" fontId="0" fillId="0" borderId="91" xfId="0" applyFill="1" applyBorder="1" applyAlignment="1" applyProtection="1">
      <alignment horizontal="center" vertical="center" shrinkToFit="1"/>
      <protection locked="0"/>
    </xf>
    <xf numFmtId="0" fontId="0" fillId="0" borderId="78" xfId="0" applyFill="1" applyBorder="1" applyAlignment="1" applyProtection="1">
      <alignment horizontal="right" vertical="center" shrinkToFit="1"/>
      <protection locked="0"/>
    </xf>
    <xf numFmtId="0" fontId="0" fillId="0" borderId="79" xfId="0" applyFill="1" applyBorder="1" applyAlignment="1" applyProtection="1">
      <alignment horizontal="right" vertical="center" shrinkToFit="1"/>
      <protection locked="0"/>
    </xf>
    <xf numFmtId="178" fontId="0" fillId="0" borderId="80" xfId="0" applyNumberFormat="1" applyFill="1" applyBorder="1" applyAlignment="1" applyProtection="1">
      <alignment horizontal="center" vertical="center" shrinkToFit="1"/>
      <protection locked="0"/>
    </xf>
    <xf numFmtId="0" fontId="0" fillId="0" borderId="92" xfId="0" applyFill="1" applyBorder="1" applyAlignment="1" applyProtection="1">
      <alignment horizontal="center" vertical="center" shrinkToFit="1"/>
      <protection locked="0"/>
    </xf>
    <xf numFmtId="49" fontId="0" fillId="0" borderId="78" xfId="0" applyNumberFormat="1" applyFill="1" applyBorder="1" applyAlignment="1" applyProtection="1">
      <alignment horizontal="center" vertical="center" shrinkToFit="1"/>
      <protection locked="0"/>
    </xf>
    <xf numFmtId="0" fontId="0" fillId="0" borderId="79" xfId="0" applyFont="1" applyFill="1" applyBorder="1" applyAlignment="1" applyProtection="1">
      <alignment horizontal="center" vertical="center" shrinkToFit="1"/>
      <protection locked="0"/>
    </xf>
    <xf numFmtId="0" fontId="0" fillId="0" borderId="92" xfId="0" applyFont="1" applyFill="1" applyBorder="1" applyAlignment="1" applyProtection="1">
      <alignment horizontal="center" vertical="center" shrinkToFit="1"/>
      <protection locked="0"/>
    </xf>
    <xf numFmtId="0" fontId="0" fillId="0" borderId="77" xfId="0" applyFill="1" applyBorder="1" applyAlignment="1">
      <alignment horizontal="center" vertical="center"/>
    </xf>
    <xf numFmtId="0" fontId="0" fillId="0" borderId="48" xfId="0" applyFill="1" applyBorder="1" applyAlignment="1" applyProtection="1">
      <alignment horizontal="center" vertical="center" shrinkToFit="1"/>
      <protection locked="0"/>
    </xf>
    <xf numFmtId="0" fontId="0" fillId="0" borderId="32" xfId="0" applyFill="1" applyBorder="1" applyAlignment="1">
      <alignment horizontal="center" vertical="center"/>
    </xf>
    <xf numFmtId="0" fontId="0" fillId="0" borderId="80" xfId="0" applyFill="1" applyBorder="1" applyAlignment="1" applyProtection="1">
      <alignment horizontal="center" vertical="center" shrinkToFit="1"/>
      <protection locked="0"/>
    </xf>
    <xf numFmtId="0" fontId="0" fillId="0" borderId="93" xfId="0" applyFill="1" applyBorder="1" applyAlignment="1" applyProtection="1">
      <alignment horizontal="center" vertical="center" shrinkToFit="1"/>
      <protection locked="0"/>
    </xf>
    <xf numFmtId="0" fontId="0" fillId="0" borderId="85" xfId="0" applyFill="1" applyBorder="1" applyAlignment="1">
      <alignment horizontal="center" vertical="center"/>
    </xf>
    <xf numFmtId="0" fontId="4" fillId="0" borderId="0" xfId="2" applyFont="1" applyBorder="1" applyAlignment="1" applyProtection="1">
      <alignment horizontal="center" vertical="center"/>
      <protection locked="0"/>
    </xf>
    <xf numFmtId="0" fontId="4" fillId="0" borderId="0" xfId="2" applyFont="1" applyBorder="1" applyAlignment="1">
      <alignment horizontal="center" vertical="center"/>
    </xf>
    <xf numFmtId="0" fontId="5" fillId="0" borderId="37" xfId="2" applyFont="1" applyBorder="1" applyAlignment="1">
      <alignment horizontal="center" vertical="center" shrinkToFit="1"/>
    </xf>
    <xf numFmtId="0" fontId="0" fillId="0" borderId="94" xfId="0" applyFill="1" applyBorder="1" applyAlignment="1" applyProtection="1">
      <alignment horizontal="center" vertical="center" shrinkToFit="1"/>
      <protection locked="0"/>
    </xf>
    <xf numFmtId="0" fontId="0" fillId="0" borderId="95" xfId="0" applyFill="1" applyBorder="1" applyAlignment="1" applyProtection="1">
      <alignment horizontal="center" vertical="center" shrinkToFit="1"/>
      <protection locked="0"/>
    </xf>
    <xf numFmtId="0" fontId="20" fillId="0" borderId="0" xfId="0" applyFont="1" applyFill="1" applyAlignment="1">
      <alignment horizontal="center" vertical="center"/>
    </xf>
    <xf numFmtId="0" fontId="0" fillId="0" borderId="40" xfId="0" applyFill="1" applyBorder="1" applyAlignment="1" applyProtection="1">
      <alignment horizontal="center" vertical="center"/>
      <protection locked="0"/>
    </xf>
    <xf numFmtId="0" fontId="0" fillId="0" borderId="37" xfId="0" applyFill="1" applyBorder="1" applyAlignment="1">
      <alignment horizontal="center" vertical="center"/>
    </xf>
    <xf numFmtId="0" fontId="9" fillId="0" borderId="0" xfId="0" applyFont="1" applyFill="1" applyAlignment="1">
      <alignment horizontal="center" vertical="center"/>
    </xf>
    <xf numFmtId="0" fontId="0" fillId="0" borderId="0" xfId="0" applyFill="1" applyAlignment="1">
      <alignment horizontal="center" vertical="center" wrapText="1"/>
    </xf>
    <xf numFmtId="0" fontId="0" fillId="0" borderId="4" xfId="0" applyFill="1" applyBorder="1" applyAlignment="1" applyProtection="1">
      <alignment horizontal="center" vertical="center" shrinkToFit="1"/>
      <protection locked="0"/>
    </xf>
    <xf numFmtId="0" fontId="0" fillId="0" borderId="77" xfId="0" applyFill="1" applyBorder="1" applyAlignment="1" applyProtection="1">
      <alignment horizontal="left" vertical="center"/>
      <protection locked="0"/>
    </xf>
    <xf numFmtId="0" fontId="0" fillId="0" borderId="77" xfId="0" applyFill="1" applyBorder="1" applyAlignment="1" applyProtection="1">
      <alignment vertical="top" wrapText="1"/>
      <protection locked="0"/>
    </xf>
    <xf numFmtId="0" fontId="0" fillId="0" borderId="52" xfId="0" applyFill="1" applyBorder="1" applyAlignment="1" applyProtection="1">
      <alignment vertical="top" wrapText="1"/>
      <protection locked="0"/>
    </xf>
    <xf numFmtId="0" fontId="0" fillId="0" borderId="95" xfId="0" applyFill="1" applyBorder="1" applyAlignment="1" applyProtection="1">
      <alignment vertical="top" wrapText="1"/>
      <protection locked="0"/>
    </xf>
    <xf numFmtId="0" fontId="0" fillId="0" borderId="0" xfId="0" applyFill="1" applyBorder="1" applyAlignment="1" applyProtection="1">
      <alignment horizontal="left" vertical="center"/>
      <protection locked="0"/>
    </xf>
    <xf numFmtId="0" fontId="0" fillId="0" borderId="0" xfId="0" applyFill="1" applyBorder="1" applyAlignment="1" applyProtection="1">
      <alignment vertical="top" wrapText="1"/>
      <protection locked="0"/>
    </xf>
    <xf numFmtId="0" fontId="0" fillId="0" borderId="2" xfId="0" applyFill="1" applyBorder="1" applyAlignment="1" applyProtection="1">
      <alignment vertical="top" wrapText="1"/>
      <protection locked="0"/>
    </xf>
    <xf numFmtId="0" fontId="0" fillId="0" borderId="29" xfId="0" applyFill="1" applyBorder="1" applyAlignment="1" applyProtection="1">
      <alignment vertical="top" wrapText="1"/>
      <protection locked="0"/>
    </xf>
    <xf numFmtId="0" fontId="0" fillId="0" borderId="0" xfId="0" applyFill="1" applyBorder="1" applyAlignment="1" applyProtection="1">
      <alignment vertical="top"/>
      <protection locked="0"/>
    </xf>
    <xf numFmtId="0" fontId="0" fillId="0" borderId="32" xfId="0" applyFill="1" applyBorder="1" applyAlignment="1" applyProtection="1">
      <alignment vertical="top"/>
      <protection locked="0"/>
    </xf>
    <xf numFmtId="0" fontId="0" fillId="0" borderId="32" xfId="0" applyFill="1" applyBorder="1" applyAlignment="1" applyProtection="1">
      <alignment vertical="top" wrapText="1"/>
      <protection locked="0"/>
    </xf>
    <xf numFmtId="0" fontId="0" fillId="0" borderId="34" xfId="0" applyFill="1" applyBorder="1" applyAlignment="1" applyProtection="1">
      <alignment vertical="top" wrapText="1"/>
      <protection locked="0"/>
    </xf>
    <xf numFmtId="0" fontId="0" fillId="0" borderId="33" xfId="0" applyFill="1" applyBorder="1" applyAlignment="1" applyProtection="1">
      <alignment vertical="top" wrapText="1"/>
      <protection locked="0"/>
    </xf>
    <xf numFmtId="0" fontId="0" fillId="0" borderId="0" xfId="0" applyFill="1" applyAlignment="1">
      <alignment horizontal="right" vertical="center"/>
    </xf>
    <xf numFmtId="0" fontId="0" fillId="0" borderId="0" xfId="0" applyFill="1" applyAlignment="1" applyProtection="1">
      <alignment horizontal="center" vertical="center"/>
      <protection locked="0"/>
    </xf>
    <xf numFmtId="3" fontId="0" fillId="0" borderId="0" xfId="0" applyNumberFormat="1" applyFill="1" applyAlignment="1" applyProtection="1">
      <alignment horizontal="center" vertical="center"/>
      <protection locked="0"/>
    </xf>
    <xf numFmtId="0" fontId="11" fillId="0" borderId="96" xfId="0" applyFont="1" applyFill="1" applyBorder="1" applyAlignment="1">
      <alignment horizontal="center" vertical="center" shrinkToFit="1"/>
    </xf>
    <xf numFmtId="0" fontId="11" fillId="0" borderId="97" xfId="0" applyFont="1" applyFill="1" applyBorder="1" applyAlignment="1">
      <alignment horizontal="center" vertical="center" shrinkToFit="1"/>
    </xf>
    <xf numFmtId="0" fontId="11" fillId="0" borderId="97" xfId="0" applyFont="1" applyFill="1" applyBorder="1" applyAlignment="1" applyProtection="1">
      <alignment horizontal="center" vertical="center" shrinkToFit="1"/>
      <protection locked="0"/>
    </xf>
    <xf numFmtId="0" fontId="11" fillId="0" borderId="98" xfId="0" applyFont="1" applyFill="1" applyBorder="1" applyAlignment="1" applyProtection="1">
      <alignment horizontal="center" vertical="center" shrinkToFit="1"/>
      <protection locked="0"/>
    </xf>
    <xf numFmtId="0" fontId="11" fillId="0" borderId="0" xfId="0" applyFont="1" applyFill="1" applyAlignment="1">
      <alignment horizontal="center" vertical="center" shrinkToFit="1"/>
    </xf>
    <xf numFmtId="0" fontId="0" fillId="0" borderId="99" xfId="0" applyFill="1" applyBorder="1" applyAlignment="1" applyProtection="1">
      <alignment horizontal="center" vertical="center"/>
      <protection locked="0"/>
    </xf>
    <xf numFmtId="0" fontId="0" fillId="0" borderId="97" xfId="0" applyFill="1" applyBorder="1" applyAlignment="1" applyProtection="1">
      <alignment horizontal="center" vertical="center"/>
      <protection locked="0"/>
    </xf>
    <xf numFmtId="0" fontId="0" fillId="0" borderId="98" xfId="0" applyFill="1" applyBorder="1" applyAlignment="1" applyProtection="1">
      <alignment horizontal="center" vertical="center"/>
      <protection locked="0"/>
    </xf>
    <xf numFmtId="0" fontId="11" fillId="0" borderId="59"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0" fontId="11" fillId="0" borderId="48" xfId="0" applyFont="1" applyFill="1" applyBorder="1" applyAlignment="1">
      <alignment horizontal="center" vertical="center" shrinkToFit="1"/>
    </xf>
    <xf numFmtId="0" fontId="0" fillId="0" borderId="61"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48" xfId="0" applyFill="1" applyBorder="1" applyAlignment="1" applyProtection="1">
      <alignment horizontal="center" vertical="center"/>
      <protection locked="0"/>
    </xf>
    <xf numFmtId="0" fontId="11" fillId="0" borderId="91" xfId="0" applyFont="1" applyFill="1" applyBorder="1" applyAlignment="1">
      <alignment horizontal="center" vertical="center" shrinkToFit="1"/>
    </xf>
    <xf numFmtId="0" fontId="11" fillId="0" borderId="92" xfId="0" applyFont="1" applyFill="1" applyBorder="1" applyAlignment="1">
      <alignment horizontal="center" vertical="center" shrinkToFit="1"/>
    </xf>
    <xf numFmtId="0" fontId="11" fillId="0" borderId="93" xfId="0" applyFont="1" applyFill="1" applyBorder="1" applyAlignment="1">
      <alignment horizontal="center" vertical="center" shrinkToFit="1"/>
    </xf>
    <xf numFmtId="0" fontId="0" fillId="0" borderId="86" xfId="0" applyFill="1" applyBorder="1" applyAlignment="1" applyProtection="1">
      <alignment horizontal="center" vertical="center"/>
      <protection locked="0"/>
    </xf>
    <xf numFmtId="0" fontId="0" fillId="0" borderId="87" xfId="0" applyFill="1" applyBorder="1" applyAlignment="1" applyProtection="1">
      <alignment horizontal="center" vertical="center"/>
      <protection locked="0"/>
    </xf>
    <xf numFmtId="0" fontId="0" fillId="0" borderId="49" xfId="0" applyFill="1" applyBorder="1" applyAlignment="1" applyProtection="1">
      <alignment horizontal="center" vertical="center"/>
      <protection locked="0"/>
    </xf>
    <xf numFmtId="0" fontId="0" fillId="0" borderId="100" xfId="0" applyFill="1" applyBorder="1" applyAlignment="1" applyProtection="1">
      <alignment horizontal="center" vertical="center" shrinkToFit="1"/>
      <protection locked="0"/>
    </xf>
    <xf numFmtId="0" fontId="0" fillId="0" borderId="101" xfId="0" applyFill="1" applyBorder="1" applyAlignment="1" applyProtection="1">
      <alignment horizontal="center" vertical="center"/>
      <protection locked="0"/>
    </xf>
    <xf numFmtId="0" fontId="0" fillId="0" borderId="17" xfId="0" applyFill="1" applyBorder="1" applyAlignment="1" applyProtection="1">
      <alignment horizontal="center" vertical="center"/>
      <protection locked="0"/>
    </xf>
    <xf numFmtId="0" fontId="0" fillId="0" borderId="102" xfId="0" applyFill="1" applyBorder="1" applyAlignment="1" applyProtection="1">
      <alignment horizontal="center" vertical="center"/>
      <protection locked="0"/>
    </xf>
    <xf numFmtId="14" fontId="4" fillId="3" borderId="0" xfId="0" applyNumberFormat="1" applyFont="1" applyFill="1" applyBorder="1" applyAlignment="1" applyProtection="1">
      <alignment horizontal="center" vertical="center" shrinkToFit="1"/>
      <protection locked="0"/>
    </xf>
    <xf numFmtId="0" fontId="0" fillId="0" borderId="10" xfId="0" quotePrefix="1" applyFill="1" applyBorder="1" applyAlignment="1" applyProtection="1">
      <alignment horizontal="center" vertical="center" shrinkToFit="1"/>
      <protection locked="0"/>
    </xf>
    <xf numFmtId="0" fontId="0" fillId="0" borderId="68" xfId="0" quotePrefix="1" applyFill="1" applyBorder="1" applyAlignment="1" applyProtection="1">
      <alignment horizontal="center" vertical="center" shrinkToFit="1"/>
      <protection locked="0"/>
    </xf>
    <xf numFmtId="0" fontId="0" fillId="0" borderId="7" xfId="0" quotePrefix="1" applyFill="1" applyBorder="1" applyAlignment="1" applyProtection="1">
      <alignment horizontal="center" vertical="center" shrinkToFit="1"/>
      <protection locked="0"/>
    </xf>
    <xf numFmtId="0" fontId="0" fillId="0" borderId="65" xfId="0" quotePrefix="1" applyFill="1" applyBorder="1" applyAlignment="1" applyProtection="1">
      <alignment horizontal="center" vertical="center" shrinkToFit="1"/>
      <protection locked="0"/>
    </xf>
    <xf numFmtId="0" fontId="0" fillId="0" borderId="37" xfId="0" applyFill="1" applyBorder="1" applyAlignment="1" applyProtection="1">
      <alignment horizontal="center" vertical="center" shrinkToFit="1"/>
      <protection locked="0"/>
    </xf>
    <xf numFmtId="0" fontId="18" fillId="5" borderId="48" xfId="0" applyFont="1" applyFill="1" applyBorder="1" applyAlignment="1">
      <alignment horizontal="center" vertical="center" shrinkToFit="1"/>
    </xf>
    <xf numFmtId="0" fontId="18" fillId="5" borderId="93" xfId="0" applyFont="1" applyFill="1" applyBorder="1" applyAlignment="1">
      <alignment horizontal="center" vertical="center" shrinkToFit="1"/>
    </xf>
    <xf numFmtId="0" fontId="0" fillId="0" borderId="68" xfId="0" applyFill="1" applyBorder="1" applyAlignment="1" applyProtection="1">
      <alignment horizontal="center" vertical="center" shrinkToFit="1"/>
      <protection locked="0"/>
    </xf>
    <xf numFmtId="0" fontId="0" fillId="0" borderId="103" xfId="0" applyFill="1" applyBorder="1" applyAlignment="1" applyProtection="1">
      <alignment horizontal="center" vertical="center" shrinkToFit="1"/>
      <protection locked="0"/>
    </xf>
    <xf numFmtId="0" fontId="0" fillId="0" borderId="104" xfId="0" applyFill="1" applyBorder="1" applyAlignment="1" applyProtection="1">
      <alignment horizontal="center" vertical="center" shrinkToFit="1"/>
      <protection locked="0"/>
    </xf>
    <xf numFmtId="0" fontId="0" fillId="0" borderId="67" xfId="0" applyFont="1" applyFill="1" applyBorder="1" applyAlignment="1" applyProtection="1">
      <alignment horizontal="center" vertical="center" shrinkToFit="1"/>
      <protection locked="0"/>
    </xf>
    <xf numFmtId="0" fontId="0" fillId="0" borderId="9" xfId="0" applyFont="1" applyFill="1" applyBorder="1" applyAlignment="1" applyProtection="1">
      <alignment horizontal="center" vertical="center" shrinkToFit="1"/>
      <protection locked="0"/>
    </xf>
    <xf numFmtId="0" fontId="0" fillId="0" borderId="65" xfId="0" applyFill="1" applyBorder="1" applyAlignment="1" applyProtection="1">
      <alignment horizontal="center" vertical="center" shrinkToFit="1"/>
      <protection locked="0"/>
    </xf>
    <xf numFmtId="0" fontId="0" fillId="0" borderId="72" xfId="0" applyFill="1" applyBorder="1" applyAlignment="1" applyProtection="1">
      <alignment horizontal="center" vertical="center" shrinkToFit="1"/>
      <protection locked="0"/>
    </xf>
    <xf numFmtId="0" fontId="0" fillId="0" borderId="75" xfId="0" applyFill="1" applyBorder="1" applyAlignment="1" applyProtection="1">
      <alignment horizontal="center" vertical="center" shrinkToFit="1"/>
      <protection locked="0"/>
    </xf>
    <xf numFmtId="0" fontId="0" fillId="0" borderId="60" xfId="0" applyFill="1" applyBorder="1" applyAlignment="1">
      <alignment horizontal="center" vertical="center"/>
    </xf>
    <xf numFmtId="0" fontId="0" fillId="0" borderId="70" xfId="0" applyFont="1" applyFill="1" applyBorder="1" applyAlignment="1" applyProtection="1">
      <alignment horizontal="center" vertical="center" shrinkToFit="1"/>
      <protection locked="0"/>
    </xf>
    <xf numFmtId="0" fontId="0" fillId="0" borderId="61" xfId="0" applyFont="1" applyFill="1" applyBorder="1" applyAlignment="1" applyProtection="1">
      <alignment horizontal="center" vertical="center" shrinkToFit="1"/>
      <protection locked="0"/>
    </xf>
    <xf numFmtId="0" fontId="0" fillId="0" borderId="48" xfId="0" applyFont="1" applyFill="1" applyBorder="1" applyAlignment="1" applyProtection="1">
      <alignment horizontal="center" vertical="center" shrinkToFit="1"/>
      <protection locked="0"/>
    </xf>
    <xf numFmtId="0" fontId="0" fillId="0" borderId="59" xfId="0" applyFont="1" applyFill="1" applyBorder="1" applyAlignment="1" applyProtection="1">
      <alignment horizontal="center" vertical="center" shrinkToFit="1"/>
      <protection locked="0"/>
    </xf>
    <xf numFmtId="0" fontId="0" fillId="0" borderId="74" xfId="0" applyFont="1" applyFill="1" applyBorder="1" applyAlignment="1" applyProtection="1">
      <alignment horizontal="center" vertical="center" shrinkToFit="1"/>
      <protection locked="0"/>
    </xf>
    <xf numFmtId="0" fontId="0" fillId="4" borderId="85" xfId="0" applyFill="1" applyBorder="1" applyAlignment="1" applyProtection="1">
      <alignment horizontal="center" vertical="center" shrinkToFit="1"/>
      <protection locked="0"/>
    </xf>
    <xf numFmtId="0" fontId="0" fillId="4" borderId="88" xfId="0" applyFill="1" applyBorder="1" applyAlignment="1" applyProtection="1">
      <alignment horizontal="center" vertical="center" shrinkToFit="1"/>
      <protection locked="0"/>
    </xf>
    <xf numFmtId="0" fontId="0" fillId="4" borderId="84" xfId="0" quotePrefix="1" applyFill="1" applyBorder="1" applyAlignment="1" applyProtection="1">
      <alignment horizontal="center" vertical="center" shrinkToFit="1"/>
      <protection locked="0"/>
    </xf>
    <xf numFmtId="0" fontId="0" fillId="4" borderId="86" xfId="0" quotePrefix="1" applyFill="1" applyBorder="1" applyAlignment="1" applyProtection="1">
      <alignment horizontal="center" vertical="center" shrinkToFit="1"/>
      <protection locked="0"/>
    </xf>
    <xf numFmtId="0" fontId="0" fillId="4" borderId="89" xfId="0" applyFill="1" applyBorder="1" applyAlignment="1" applyProtection="1">
      <alignment horizontal="center" vertical="center" shrinkToFit="1"/>
      <protection locked="0"/>
    </xf>
    <xf numFmtId="0" fontId="0" fillId="0" borderId="148" xfId="0" applyFill="1" applyBorder="1" applyAlignment="1" applyProtection="1">
      <alignment horizontal="center" vertical="center" shrinkToFit="1"/>
      <protection locked="0"/>
    </xf>
    <xf numFmtId="0" fontId="0" fillId="0" borderId="151" xfId="0" applyFill="1" applyBorder="1" applyAlignment="1" applyProtection="1">
      <alignment horizontal="center" vertical="center" shrinkToFit="1"/>
      <protection locked="0"/>
    </xf>
    <xf numFmtId="49" fontId="0" fillId="0" borderId="149" xfId="0" applyNumberFormat="1" applyFill="1" applyBorder="1" applyAlignment="1" applyProtection="1">
      <alignment horizontal="center" vertical="center" shrinkToFit="1"/>
      <protection locked="0"/>
    </xf>
    <xf numFmtId="0" fontId="0" fillId="0" borderId="105" xfId="0" applyFill="1" applyBorder="1" applyAlignment="1" applyProtection="1">
      <alignment horizontal="center" vertical="center" shrinkToFit="1"/>
      <protection locked="0"/>
    </xf>
    <xf numFmtId="0" fontId="0" fillId="4" borderId="39" xfId="0" applyFill="1" applyBorder="1" applyAlignment="1" applyProtection="1">
      <alignment horizontal="center" vertical="center" shrinkToFit="1"/>
      <protection locked="0"/>
    </xf>
    <xf numFmtId="0" fontId="0" fillId="4" borderId="38" xfId="0" applyFill="1" applyBorder="1" applyAlignment="1" applyProtection="1">
      <alignment horizontal="center" vertical="center" shrinkToFit="1"/>
      <protection locked="0"/>
    </xf>
    <xf numFmtId="0" fontId="0" fillId="4" borderId="152" xfId="0" quotePrefix="1" applyFill="1" applyBorder="1" applyAlignment="1" applyProtection="1">
      <alignment horizontal="center" vertical="center" shrinkToFit="1"/>
      <protection locked="0"/>
    </xf>
    <xf numFmtId="0" fontId="0" fillId="4" borderId="99" xfId="0" quotePrefix="1" applyFill="1" applyBorder="1" applyAlignment="1" applyProtection="1">
      <alignment horizontal="center" vertical="center" shrinkToFit="1"/>
      <protection locked="0"/>
    </xf>
    <xf numFmtId="0" fontId="0" fillId="4" borderId="40" xfId="0" applyFill="1" applyBorder="1" applyAlignment="1" applyProtection="1">
      <alignment horizontal="center" vertical="center" shrinkToFit="1"/>
      <protection locked="0"/>
    </xf>
    <xf numFmtId="0" fontId="0" fillId="0" borderId="0" xfId="0" applyFill="1">
      <alignment vertical="center"/>
    </xf>
    <xf numFmtId="0" fontId="0" fillId="0" borderId="96" xfId="0" applyFill="1" applyBorder="1" applyAlignment="1" applyProtection="1">
      <alignment horizontal="center" vertical="center" shrinkToFit="1"/>
      <protection locked="0"/>
    </xf>
    <xf numFmtId="0" fontId="0" fillId="0" borderId="152" xfId="0" applyFill="1" applyBorder="1" applyAlignment="1" applyProtection="1">
      <alignment horizontal="right" vertical="center" shrinkToFit="1"/>
      <protection locked="0"/>
    </xf>
    <xf numFmtId="0" fontId="0" fillId="0" borderId="39" xfId="0" applyFill="1" applyBorder="1" applyAlignment="1" applyProtection="1">
      <alignment horizontal="center" vertical="center" shrinkToFit="1"/>
      <protection locked="0"/>
    </xf>
    <xf numFmtId="0" fontId="0" fillId="0" borderId="39" xfId="0" applyFill="1" applyBorder="1" applyAlignment="1" applyProtection="1">
      <alignment horizontal="right" vertical="center" shrinkToFit="1"/>
      <protection locked="0"/>
    </xf>
    <xf numFmtId="178" fontId="0" fillId="0" borderId="99" xfId="0" applyNumberFormat="1" applyFill="1" applyBorder="1" applyAlignment="1" applyProtection="1">
      <alignment horizontal="center" vertical="center" shrinkToFit="1"/>
      <protection locked="0"/>
    </xf>
    <xf numFmtId="0" fontId="0" fillId="0" borderId="97" xfId="0" applyFill="1" applyBorder="1" applyAlignment="1" applyProtection="1">
      <alignment horizontal="center" vertical="center" shrinkToFit="1"/>
      <protection locked="0"/>
    </xf>
    <xf numFmtId="49" fontId="0" fillId="0" borderId="152" xfId="0" applyNumberFormat="1" applyFill="1" applyBorder="1" applyAlignment="1" applyProtection="1">
      <alignment horizontal="center" vertical="center" shrinkToFit="1"/>
      <protection locked="0"/>
    </xf>
    <xf numFmtId="0" fontId="0" fillId="6" borderId="58" xfId="0" applyFill="1" applyBorder="1" applyAlignment="1" applyProtection="1">
      <alignment horizontal="center" vertical="center" shrinkToFit="1"/>
      <protection locked="0"/>
    </xf>
    <xf numFmtId="0" fontId="0" fillId="6" borderId="4" xfId="0" quotePrefix="1" applyFill="1" applyBorder="1" applyAlignment="1" applyProtection="1">
      <alignment horizontal="center" vertical="center" shrinkToFit="1"/>
      <protection locked="0"/>
    </xf>
    <xf numFmtId="0" fontId="0" fillId="6" borderId="60" xfId="0" applyFill="1" applyBorder="1" applyAlignment="1" applyProtection="1">
      <alignment horizontal="center" vertical="center" shrinkToFit="1"/>
      <protection locked="0"/>
    </xf>
    <xf numFmtId="0" fontId="0" fillId="6" borderId="61" xfId="0" quotePrefix="1" applyFill="1" applyBorder="1" applyAlignment="1" applyProtection="1">
      <alignment horizontal="center" vertical="center" shrinkToFit="1"/>
      <protection locked="0"/>
    </xf>
    <xf numFmtId="0" fontId="0" fillId="6" borderId="70" xfId="0" applyFill="1" applyBorder="1" applyAlignment="1" applyProtection="1">
      <alignment horizontal="center" vertical="center" shrinkToFit="1"/>
      <protection locked="0"/>
    </xf>
    <xf numFmtId="0" fontId="0" fillId="5" borderId="33" xfId="0" applyFill="1" applyBorder="1" applyAlignment="1" applyProtection="1">
      <alignment horizontal="center" vertical="center" shrinkToFit="1"/>
      <protection locked="0"/>
    </xf>
    <xf numFmtId="0" fontId="0" fillId="5" borderId="149" xfId="0" quotePrefix="1" applyFill="1" applyBorder="1" applyAlignment="1" applyProtection="1">
      <alignment horizontal="center" vertical="center" shrinkToFit="1"/>
      <protection locked="0"/>
    </xf>
    <xf numFmtId="0" fontId="0" fillId="5" borderId="32" xfId="0" applyFill="1" applyBorder="1" applyAlignment="1" applyProtection="1">
      <alignment horizontal="center" vertical="center" shrinkToFit="1"/>
      <protection locked="0"/>
    </xf>
    <xf numFmtId="0" fontId="0" fillId="5" borderId="150" xfId="0" quotePrefix="1" applyFill="1" applyBorder="1" applyAlignment="1" applyProtection="1">
      <alignment horizontal="center" vertical="center" shrinkToFit="1"/>
      <protection locked="0"/>
    </xf>
    <xf numFmtId="0" fontId="0" fillId="5" borderId="34" xfId="0" applyFill="1" applyBorder="1" applyAlignment="1" applyProtection="1">
      <alignment horizontal="center" vertical="center" shrinkToFit="1"/>
      <protection locked="0"/>
    </xf>
    <xf numFmtId="0" fontId="0" fillId="7" borderId="58" xfId="0" applyFill="1" applyBorder="1" applyAlignment="1" applyProtection="1">
      <alignment horizontal="center" vertical="center" shrinkToFit="1"/>
      <protection locked="0"/>
    </xf>
    <xf numFmtId="0" fontId="0" fillId="7" borderId="4" xfId="0" quotePrefix="1" applyFill="1" applyBorder="1" applyAlignment="1" applyProtection="1">
      <alignment horizontal="center" vertical="center" shrinkToFit="1"/>
      <protection locked="0"/>
    </xf>
    <xf numFmtId="0" fontId="0" fillId="7" borderId="60" xfId="0" applyFill="1" applyBorder="1" applyAlignment="1" applyProtection="1">
      <alignment horizontal="center" vertical="center" shrinkToFit="1"/>
      <protection locked="0"/>
    </xf>
    <xf numFmtId="0" fontId="0" fillId="7" borderId="61" xfId="0" quotePrefix="1" applyFill="1" applyBorder="1" applyAlignment="1" applyProtection="1">
      <alignment horizontal="center" vertical="center" shrinkToFit="1"/>
      <protection locked="0"/>
    </xf>
    <xf numFmtId="0" fontId="0" fillId="7" borderId="70" xfId="0" applyFill="1" applyBorder="1" applyAlignment="1" applyProtection="1">
      <alignment horizontal="center" vertical="center" shrinkToFit="1"/>
      <protection locked="0"/>
    </xf>
    <xf numFmtId="0" fontId="22" fillId="0" borderId="4" xfId="0" applyFont="1" applyFill="1" applyBorder="1" applyAlignment="1" applyProtection="1">
      <alignment horizontal="right" vertical="center" shrinkToFit="1"/>
      <protection locked="0"/>
    </xf>
    <xf numFmtId="0" fontId="22" fillId="0" borderId="60" xfId="0" applyFont="1" applyFill="1" applyBorder="1" applyAlignment="1" applyProtection="1">
      <alignment horizontal="center" vertical="center" shrinkToFit="1"/>
      <protection locked="0"/>
    </xf>
    <xf numFmtId="0" fontId="22" fillId="0" borderId="60" xfId="0" applyFont="1" applyFill="1" applyBorder="1" applyAlignment="1" applyProtection="1">
      <alignment horizontal="right" vertical="center" shrinkToFit="1"/>
      <protection locked="0"/>
    </xf>
    <xf numFmtId="178" fontId="22" fillId="0" borderId="61" xfId="0" applyNumberFormat="1" applyFont="1" applyFill="1" applyBorder="1" applyAlignment="1" applyProtection="1">
      <alignment horizontal="center" vertical="center" shrinkToFit="1"/>
      <protection locked="0"/>
    </xf>
    <xf numFmtId="0" fontId="22" fillId="0" borderId="7" xfId="0" applyFont="1" applyFill="1" applyBorder="1" applyAlignment="1" applyProtection="1">
      <alignment horizontal="right" vertical="center" shrinkToFit="1"/>
      <protection locked="0"/>
    </xf>
    <xf numFmtId="0" fontId="22" fillId="0" borderId="64" xfId="0" applyFont="1" applyFill="1" applyBorder="1" applyAlignment="1" applyProtection="1">
      <alignment horizontal="center" vertical="center" shrinkToFit="1"/>
      <protection locked="0"/>
    </xf>
    <xf numFmtId="0" fontId="22" fillId="0" borderId="64" xfId="0" applyFont="1" applyFill="1" applyBorder="1" applyAlignment="1" applyProtection="1">
      <alignment horizontal="right" vertical="center" shrinkToFit="1"/>
      <protection locked="0"/>
    </xf>
    <xf numFmtId="178" fontId="22" fillId="0" borderId="65" xfId="0" applyNumberFormat="1" applyFont="1" applyFill="1" applyBorder="1" applyAlignment="1" applyProtection="1">
      <alignment horizontal="center" vertical="center" shrinkToFit="1"/>
      <protection locked="0"/>
    </xf>
    <xf numFmtId="0" fontId="22" fillId="0" borderId="149" xfId="0" applyFont="1" applyFill="1" applyBorder="1" applyAlignment="1" applyProtection="1">
      <alignment horizontal="right" vertical="center" shrinkToFit="1"/>
      <protection locked="0"/>
    </xf>
    <xf numFmtId="0" fontId="22" fillId="0" borderId="32" xfId="0" applyFont="1" applyFill="1" applyBorder="1" applyAlignment="1" applyProtection="1">
      <alignment horizontal="center" vertical="center" shrinkToFit="1"/>
      <protection locked="0"/>
    </xf>
    <xf numFmtId="0" fontId="22" fillId="0" borderId="32" xfId="0" applyFont="1" applyFill="1" applyBorder="1" applyAlignment="1" applyProtection="1">
      <alignment horizontal="right" vertical="center" shrinkToFit="1"/>
      <protection locked="0"/>
    </xf>
    <xf numFmtId="178" fontId="22" fillId="0" borderId="150" xfId="0" applyNumberFormat="1" applyFont="1" applyFill="1" applyBorder="1" applyAlignment="1" applyProtection="1">
      <alignment horizontal="center" vertical="center" shrinkToFit="1"/>
      <protection locked="0"/>
    </xf>
    <xf numFmtId="0" fontId="22" fillId="0" borderId="78" xfId="0" applyFont="1" applyFill="1" applyBorder="1" applyAlignment="1" applyProtection="1">
      <alignment horizontal="right" vertical="center" shrinkToFit="1"/>
      <protection locked="0"/>
    </xf>
    <xf numFmtId="0" fontId="22" fillId="0" borderId="79" xfId="0" applyFont="1" applyFill="1" applyBorder="1" applyAlignment="1" applyProtection="1">
      <alignment horizontal="center" vertical="center" shrinkToFit="1"/>
      <protection locked="0"/>
    </xf>
    <xf numFmtId="0" fontId="22" fillId="0" borderId="79" xfId="0" applyFont="1" applyFill="1" applyBorder="1" applyAlignment="1" applyProtection="1">
      <alignment horizontal="right" vertical="center" shrinkToFit="1"/>
      <protection locked="0"/>
    </xf>
    <xf numFmtId="178" fontId="22" fillId="0" borderId="80" xfId="0" applyNumberFormat="1" applyFont="1" applyFill="1" applyBorder="1" applyAlignment="1" applyProtection="1">
      <alignment horizontal="center" vertical="center" shrinkToFit="1"/>
      <protection locked="0"/>
    </xf>
    <xf numFmtId="0" fontId="23" fillId="0" borderId="4" xfId="0" applyFont="1" applyFill="1" applyBorder="1" applyAlignment="1" applyProtection="1">
      <alignment horizontal="right" vertical="center" shrinkToFit="1"/>
      <protection locked="0"/>
    </xf>
    <xf numFmtId="0" fontId="23" fillId="0" borderId="60" xfId="0" applyFont="1" applyFill="1" applyBorder="1" applyAlignment="1" applyProtection="1">
      <alignment horizontal="center" vertical="center" shrinkToFit="1"/>
      <protection locked="0"/>
    </xf>
    <xf numFmtId="0" fontId="23" fillId="0" borderId="60" xfId="0" applyFont="1" applyFill="1" applyBorder="1" applyAlignment="1" applyProtection="1">
      <alignment horizontal="right" vertical="center" shrinkToFit="1"/>
      <protection locked="0"/>
    </xf>
    <xf numFmtId="178" fontId="23" fillId="0" borderId="61" xfId="0" applyNumberFormat="1" applyFont="1" applyFill="1" applyBorder="1" applyAlignment="1" applyProtection="1">
      <alignment horizontal="center" vertical="center" shrinkToFit="1"/>
      <protection locked="0"/>
    </xf>
    <xf numFmtId="0" fontId="23" fillId="0" borderId="84" xfId="0" applyFont="1" applyFill="1" applyBorder="1" applyAlignment="1" applyProtection="1">
      <alignment horizontal="right" vertical="center" shrinkToFit="1"/>
      <protection locked="0"/>
    </xf>
    <xf numFmtId="0" fontId="23" fillId="0" borderId="85" xfId="0" applyFont="1" applyFill="1" applyBorder="1" applyAlignment="1" applyProtection="1">
      <alignment horizontal="center" vertical="center" shrinkToFit="1"/>
      <protection locked="0"/>
    </xf>
    <xf numFmtId="0" fontId="23" fillId="0" borderId="85" xfId="0" applyFont="1" applyFill="1" applyBorder="1" applyAlignment="1" applyProtection="1">
      <alignment horizontal="right" vertical="center" shrinkToFit="1"/>
      <protection locked="0"/>
    </xf>
    <xf numFmtId="178" fontId="23" fillId="0" borderId="86" xfId="0" applyNumberFormat="1" applyFont="1" applyFill="1" applyBorder="1" applyAlignment="1" applyProtection="1">
      <alignment horizontal="center" vertical="center" shrinkToFit="1"/>
      <protection locked="0"/>
    </xf>
    <xf numFmtId="0" fontId="23" fillId="0" borderId="78" xfId="0" applyFont="1" applyFill="1" applyBorder="1" applyAlignment="1" applyProtection="1">
      <alignment horizontal="right" vertical="center" shrinkToFit="1"/>
      <protection locked="0"/>
    </xf>
    <xf numFmtId="0" fontId="23" fillId="0" borderId="79" xfId="0" applyFont="1" applyFill="1" applyBorder="1" applyAlignment="1" applyProtection="1">
      <alignment horizontal="center" vertical="center" shrinkToFit="1"/>
      <protection locked="0"/>
    </xf>
    <xf numFmtId="0" fontId="23" fillId="0" borderId="79" xfId="0" applyFont="1" applyFill="1" applyBorder="1" applyAlignment="1" applyProtection="1">
      <alignment horizontal="right" vertical="center" shrinkToFit="1"/>
      <protection locked="0"/>
    </xf>
    <xf numFmtId="178" fontId="23" fillId="0" borderId="80" xfId="0" applyNumberFormat="1" applyFont="1" applyFill="1" applyBorder="1" applyAlignment="1" applyProtection="1">
      <alignment horizontal="center" vertical="center" shrinkToFit="1"/>
      <protection locked="0"/>
    </xf>
    <xf numFmtId="0" fontId="23" fillId="0" borderId="149" xfId="0" applyFont="1" applyFill="1" applyBorder="1" applyAlignment="1" applyProtection="1">
      <alignment horizontal="right" vertical="center" shrinkToFit="1"/>
      <protection locked="0"/>
    </xf>
    <xf numFmtId="0" fontId="23" fillId="0" borderId="32" xfId="0" applyFont="1" applyFill="1" applyBorder="1" applyAlignment="1" applyProtection="1">
      <alignment horizontal="center" vertical="center" shrinkToFit="1"/>
      <protection locked="0"/>
    </xf>
    <xf numFmtId="0" fontId="23" fillId="0" borderId="32" xfId="0" applyFont="1" applyFill="1" applyBorder="1" applyAlignment="1" applyProtection="1">
      <alignment horizontal="right" vertical="center" shrinkToFit="1"/>
      <protection locked="0"/>
    </xf>
    <xf numFmtId="178" fontId="23" fillId="0" borderId="150" xfId="0" applyNumberFormat="1" applyFont="1" applyFill="1" applyBorder="1" applyAlignment="1" applyProtection="1">
      <alignment horizontal="center" vertical="center" shrinkToFit="1"/>
      <protection locked="0"/>
    </xf>
    <xf numFmtId="0" fontId="0" fillId="0" borderId="64" xfId="0" applyFont="1" applyFill="1" applyBorder="1" applyAlignment="1" applyProtection="1">
      <alignment horizontal="center" vertical="center" shrinkToFit="1"/>
      <protection locked="0"/>
    </xf>
    <xf numFmtId="0" fontId="4" fillId="0" borderId="39" xfId="0" applyFont="1" applyFill="1" applyBorder="1" applyAlignment="1" applyProtection="1">
      <alignment horizontal="center" vertical="center"/>
      <protection locked="0"/>
    </xf>
    <xf numFmtId="0" fontId="0" fillId="0" borderId="150" xfId="0" applyFill="1" applyBorder="1" applyAlignment="1" applyProtection="1">
      <alignment horizontal="center" vertical="center" shrinkToFit="1"/>
      <protection locked="0"/>
    </xf>
    <xf numFmtId="0" fontId="0" fillId="0" borderId="153" xfId="0" applyFill="1" applyBorder="1" applyAlignment="1" applyProtection="1">
      <alignment horizontal="center" vertical="center" shrinkToFit="1"/>
      <protection locked="0"/>
    </xf>
    <xf numFmtId="0" fontId="0" fillId="0" borderId="38" xfId="0" applyFill="1" applyBorder="1" applyAlignment="1" applyProtection="1">
      <alignment horizontal="center" vertical="center" shrinkToFit="1"/>
      <protection locked="0"/>
    </xf>
    <xf numFmtId="0" fontId="0" fillId="0" borderId="152" xfId="0" quotePrefix="1" applyFill="1" applyBorder="1" applyAlignment="1" applyProtection="1">
      <alignment horizontal="center" vertical="center" shrinkToFit="1"/>
      <protection locked="0"/>
    </xf>
    <xf numFmtId="0" fontId="0" fillId="0" borderId="99" xfId="0" quotePrefix="1" applyFill="1" applyBorder="1" applyAlignment="1" applyProtection="1">
      <alignment horizontal="center" vertical="center" shrinkToFit="1"/>
      <protection locked="0"/>
    </xf>
    <xf numFmtId="0" fontId="0" fillId="0" borderId="40" xfId="0" applyFill="1" applyBorder="1" applyAlignment="1" applyProtection="1">
      <alignment horizontal="center" vertical="center" shrinkToFit="1"/>
      <protection locked="0"/>
    </xf>
    <xf numFmtId="0" fontId="0" fillId="0" borderId="39" xfId="0" applyFill="1" applyBorder="1" applyAlignment="1">
      <alignment horizontal="center" vertical="center"/>
    </xf>
    <xf numFmtId="0" fontId="0" fillId="0" borderId="99" xfId="0" applyFill="1" applyBorder="1" applyAlignment="1" applyProtection="1">
      <alignment horizontal="center" vertical="center" shrinkToFit="1"/>
      <protection locked="0"/>
    </xf>
    <xf numFmtId="0" fontId="0" fillId="0" borderId="98" xfId="0" applyFill="1" applyBorder="1" applyAlignment="1" applyProtection="1">
      <alignment horizontal="center" vertical="center" shrinkToFit="1"/>
      <protection locked="0"/>
    </xf>
    <xf numFmtId="0" fontId="0" fillId="0" borderId="149" xfId="0" applyFill="1" applyBorder="1" applyAlignment="1" applyProtection="1">
      <alignment horizontal="right" vertical="center" shrinkToFit="1"/>
      <protection locked="0"/>
    </xf>
    <xf numFmtId="0" fontId="0" fillId="0" borderId="32" xfId="0" applyFill="1" applyBorder="1" applyAlignment="1" applyProtection="1">
      <alignment horizontal="center" vertical="center" shrinkToFit="1"/>
      <protection locked="0"/>
    </xf>
    <xf numFmtId="0" fontId="0" fillId="0" borderId="32" xfId="0" applyFill="1" applyBorder="1" applyAlignment="1" applyProtection="1">
      <alignment horizontal="right" vertical="center" shrinkToFit="1"/>
      <protection locked="0"/>
    </xf>
    <xf numFmtId="178" fontId="0" fillId="0" borderId="150" xfId="0" applyNumberFormat="1" applyFill="1" applyBorder="1" applyAlignment="1" applyProtection="1">
      <alignment horizontal="center" vertical="center" shrinkToFit="1"/>
      <protection locked="0"/>
    </xf>
    <xf numFmtId="0" fontId="0" fillId="0" borderId="33" xfId="0" applyFill="1" applyBorder="1" applyAlignment="1" applyProtection="1">
      <alignment horizontal="center" vertical="center" shrinkToFit="1"/>
      <protection locked="0"/>
    </xf>
    <xf numFmtId="0" fontId="0" fillId="0" borderId="149" xfId="0" quotePrefix="1" applyFill="1" applyBorder="1" applyAlignment="1" applyProtection="1">
      <alignment horizontal="center" vertical="center" shrinkToFit="1"/>
      <protection locked="0"/>
    </xf>
    <xf numFmtId="0" fontId="0" fillId="0" borderId="150" xfId="0" quotePrefix="1" applyFill="1" applyBorder="1" applyAlignment="1" applyProtection="1">
      <alignment horizontal="center" vertical="center" shrinkToFit="1"/>
      <protection locked="0"/>
    </xf>
    <xf numFmtId="0" fontId="0" fillId="0" borderId="34" xfId="0" applyFill="1" applyBorder="1" applyAlignment="1" applyProtection="1">
      <alignment horizontal="center" vertical="center" shrinkToFit="1"/>
      <protection locked="0"/>
    </xf>
    <xf numFmtId="0" fontId="0" fillId="0" borderId="32" xfId="0" applyFont="1" applyFill="1" applyBorder="1" applyAlignment="1" applyProtection="1">
      <alignment horizontal="center" vertical="center" shrinkToFit="1"/>
      <protection locked="0"/>
    </xf>
    <xf numFmtId="0" fontId="0" fillId="0" borderId="151" xfId="0" applyFont="1" applyFill="1" applyBorder="1" applyAlignment="1" applyProtection="1">
      <alignment horizontal="center" vertical="center" shrinkToFit="1"/>
      <protection locked="0"/>
    </xf>
    <xf numFmtId="49" fontId="0" fillId="0" borderId="82" xfId="0" applyNumberFormat="1" applyFill="1" applyBorder="1" applyAlignment="1" applyProtection="1">
      <alignment horizontal="center" vertical="center" shrinkToFit="1"/>
      <protection locked="0"/>
    </xf>
    <xf numFmtId="0" fontId="0" fillId="0" borderId="38" xfId="0" applyFill="1" applyBorder="1" applyAlignment="1" applyProtection="1">
      <alignment horizontal="center" vertical="center"/>
      <protection locked="0"/>
    </xf>
    <xf numFmtId="0" fontId="0" fillId="0" borderId="39" xfId="0" applyFill="1" applyBorder="1" applyAlignment="1" applyProtection="1">
      <alignment horizontal="center" vertical="center"/>
      <protection locked="0"/>
    </xf>
    <xf numFmtId="0" fontId="0" fillId="0" borderId="40" xfId="0" applyFill="1" applyBorder="1" applyAlignment="1" applyProtection="1">
      <alignment horizontal="center" vertical="center"/>
      <protection locked="0"/>
    </xf>
    <xf numFmtId="0" fontId="0" fillId="0" borderId="73" xfId="0" applyFill="1" applyBorder="1" applyAlignment="1" applyProtection="1">
      <alignment horizontal="center" vertical="center"/>
      <protection locked="0"/>
    </xf>
    <xf numFmtId="0" fontId="0" fillId="0" borderId="100" xfId="0" applyFill="1" applyBorder="1" applyAlignment="1" applyProtection="1">
      <alignment horizontal="center" vertical="center"/>
      <protection locked="0"/>
    </xf>
    <xf numFmtId="0" fontId="0" fillId="0" borderId="105" xfId="0" applyFill="1" applyBorder="1" applyAlignment="1" applyProtection="1">
      <alignment horizontal="center" vertical="center"/>
      <protection locked="0"/>
    </xf>
    <xf numFmtId="14" fontId="4" fillId="0" borderId="39" xfId="0" applyNumberFormat="1" applyFont="1" applyFill="1" applyBorder="1" applyAlignment="1" applyProtection="1">
      <alignment horizontal="center" vertical="center"/>
      <protection locked="0"/>
    </xf>
    <xf numFmtId="14" fontId="4" fillId="0" borderId="40" xfId="0" applyNumberFormat="1" applyFont="1" applyFill="1" applyBorder="1" applyAlignment="1" applyProtection="1">
      <alignment horizontal="center" vertical="center"/>
      <protection locked="0"/>
    </xf>
    <xf numFmtId="0" fontId="0" fillId="0" borderId="57" xfId="0" applyFill="1" applyBorder="1" applyAlignment="1" applyProtection="1">
      <alignment horizontal="center" vertical="center" shrinkToFit="1"/>
      <protection locked="0"/>
    </xf>
    <xf numFmtId="0" fontId="0" fillId="0" borderId="77" xfId="0" applyFill="1" applyBorder="1" applyAlignment="1" applyProtection="1">
      <alignment horizontal="center" vertical="center" shrinkToFit="1"/>
      <protection locked="0"/>
    </xf>
    <xf numFmtId="0" fontId="0" fillId="0" borderId="95" xfId="0" applyFill="1" applyBorder="1" applyAlignment="1" applyProtection="1">
      <alignment horizontal="center" vertical="center" shrinkToFit="1"/>
      <protection locked="0"/>
    </xf>
    <xf numFmtId="0" fontId="0" fillId="0" borderId="52" xfId="0" applyFill="1" applyBorder="1" applyAlignment="1" applyProtection="1">
      <alignment horizontal="center" vertical="center" shrinkToFit="1"/>
      <protection locked="0"/>
    </xf>
    <xf numFmtId="0" fontId="4" fillId="0" borderId="38" xfId="0" applyFont="1" applyFill="1" applyBorder="1" applyAlignment="1" applyProtection="1">
      <alignment horizontal="right" vertical="center"/>
      <protection locked="0"/>
    </xf>
    <xf numFmtId="0" fontId="4" fillId="0" borderId="39" xfId="0" applyFont="1" applyFill="1" applyBorder="1" applyAlignment="1" applyProtection="1">
      <alignment horizontal="right" vertical="center"/>
      <protection locked="0"/>
    </xf>
    <xf numFmtId="0" fontId="8" fillId="0" borderId="112" xfId="3" applyFont="1" applyBorder="1" applyAlignment="1">
      <alignment horizontal="center" vertical="center" shrinkToFit="1"/>
    </xf>
    <xf numFmtId="0" fontId="8" fillId="0" borderId="129" xfId="3" applyFont="1" applyBorder="1" applyAlignment="1">
      <alignment horizontal="center" vertical="center" shrinkToFit="1"/>
    </xf>
    <xf numFmtId="0" fontId="8" fillId="0" borderId="130" xfId="3" applyFont="1" applyBorder="1" applyAlignment="1">
      <alignment horizontal="center" vertical="center" shrinkToFit="1"/>
    </xf>
    <xf numFmtId="0" fontId="8" fillId="0" borderId="131" xfId="3" applyFont="1" applyBorder="1" applyAlignment="1">
      <alignment horizontal="center" vertical="center" shrinkToFit="1"/>
    </xf>
    <xf numFmtId="0" fontId="8" fillId="0" borderId="30" xfId="3" applyFont="1" applyBorder="1" applyAlignment="1">
      <alignment horizontal="center" vertical="center" shrinkToFit="1"/>
    </xf>
    <xf numFmtId="0" fontId="8" fillId="0" borderId="0" xfId="3" applyFont="1" applyBorder="1" applyAlignment="1">
      <alignment horizontal="center" vertical="center" shrinkToFit="1"/>
    </xf>
    <xf numFmtId="0" fontId="8" fillId="0" borderId="2" xfId="3" applyFont="1" applyBorder="1" applyAlignment="1">
      <alignment horizontal="center" vertical="center" shrinkToFit="1"/>
    </xf>
    <xf numFmtId="0" fontId="8" fillId="0" borderId="29" xfId="3" applyFont="1" applyBorder="1" applyAlignment="1">
      <alignment horizontal="center" vertical="center" shrinkToFit="1"/>
    </xf>
    <xf numFmtId="0" fontId="8" fillId="0" borderId="35" xfId="3" applyFont="1" applyFill="1" applyBorder="1" applyAlignment="1">
      <alignment horizontal="center" vertical="center" shrinkToFit="1"/>
    </xf>
    <xf numFmtId="0" fontId="8" fillId="0" borderId="28" xfId="3" applyFont="1" applyFill="1" applyBorder="1" applyAlignment="1">
      <alignment horizontal="center" vertical="center" shrinkToFit="1"/>
    </xf>
    <xf numFmtId="0" fontId="8" fillId="0" borderId="12" xfId="3" applyFont="1" applyFill="1" applyBorder="1" applyAlignment="1">
      <alignment horizontal="center" vertical="center" shrinkToFit="1"/>
    </xf>
    <xf numFmtId="0" fontId="8" fillId="0" borderId="36" xfId="3" applyFont="1" applyFill="1" applyBorder="1" applyAlignment="1">
      <alignment horizontal="center" vertical="center" shrinkToFit="1"/>
    </xf>
    <xf numFmtId="0" fontId="8" fillId="0" borderId="33" xfId="3" applyFont="1" applyFill="1" applyBorder="1" applyAlignment="1">
      <alignment horizontal="center" vertical="center" shrinkToFit="1"/>
    </xf>
    <xf numFmtId="0" fontId="8" fillId="0" borderId="32" xfId="3" applyFont="1" applyFill="1" applyBorder="1" applyAlignment="1">
      <alignment horizontal="center" vertical="center" shrinkToFit="1"/>
    </xf>
    <xf numFmtId="0" fontId="8" fillId="0" borderId="34" xfId="3" applyFont="1" applyFill="1" applyBorder="1" applyAlignment="1">
      <alignment horizontal="center" vertical="center" shrinkToFit="1"/>
    </xf>
    <xf numFmtId="0" fontId="5" fillId="0" borderId="127" xfId="3" applyFont="1" applyBorder="1" applyAlignment="1">
      <alignment horizontal="center" vertical="center"/>
    </xf>
    <xf numFmtId="0" fontId="5" fillId="0" borderId="30" xfId="4" applyFont="1" applyBorder="1" applyAlignment="1" applyProtection="1">
      <alignment horizontal="center" vertical="center" shrinkToFit="1"/>
      <protection locked="0"/>
    </xf>
    <xf numFmtId="0" fontId="5" fillId="0" borderId="35" xfId="4" applyFont="1" applyBorder="1" applyAlignment="1" applyProtection="1">
      <alignment horizontal="center" vertical="center" shrinkToFit="1"/>
      <protection locked="0"/>
    </xf>
    <xf numFmtId="0" fontId="5" fillId="0" borderId="106" xfId="4" applyFont="1" applyBorder="1" applyAlignment="1" applyProtection="1">
      <alignment horizontal="center" vertical="center" shrinkToFit="1"/>
      <protection locked="0"/>
    </xf>
    <xf numFmtId="0" fontId="5" fillId="0" borderId="31" xfId="4" applyFont="1" applyBorder="1" applyAlignment="1" applyProtection="1">
      <alignment horizontal="center" vertical="center" shrinkToFit="1"/>
      <protection locked="0"/>
    </xf>
    <xf numFmtId="0" fontId="8" fillId="0" borderId="106" xfId="3" applyFont="1" applyBorder="1" applyAlignment="1">
      <alignment horizontal="center" vertical="center" shrinkToFit="1"/>
    </xf>
    <xf numFmtId="0" fontId="8" fillId="0" borderId="77" xfId="3" applyFont="1" applyBorder="1" applyAlignment="1">
      <alignment horizontal="center" vertical="center" shrinkToFit="1"/>
    </xf>
    <xf numFmtId="0" fontId="8" fillId="0" borderId="95" xfId="3" applyFont="1" applyBorder="1" applyAlignment="1">
      <alignment horizontal="center" vertical="center" shrinkToFit="1"/>
    </xf>
    <xf numFmtId="0" fontId="8" fillId="0" borderId="31" xfId="3" applyFont="1" applyFill="1" applyBorder="1" applyAlignment="1">
      <alignment horizontal="center" vertical="center" shrinkToFit="1"/>
    </xf>
    <xf numFmtId="0" fontId="8" fillId="0" borderId="117" xfId="3" applyFont="1" applyBorder="1" applyAlignment="1">
      <alignment horizontal="center" vertical="center" shrinkToFit="1"/>
    </xf>
    <xf numFmtId="0" fontId="8" fillId="0" borderId="118" xfId="3" applyFont="1" applyBorder="1" applyAlignment="1">
      <alignment horizontal="center" vertical="center" shrinkToFit="1"/>
    </xf>
    <xf numFmtId="0" fontId="8" fillId="0" borderId="119" xfId="3" applyFont="1" applyBorder="1" applyAlignment="1">
      <alignment horizontal="center" vertical="center" shrinkToFit="1"/>
    </xf>
    <xf numFmtId="0" fontId="8" fillId="0" borderId="120" xfId="3" applyFont="1" applyBorder="1" applyAlignment="1">
      <alignment horizontal="center" vertical="center" shrinkToFit="1"/>
    </xf>
    <xf numFmtId="0" fontId="8" fillId="0" borderId="113" xfId="3" applyFont="1" applyBorder="1" applyAlignment="1">
      <alignment horizontal="center" vertical="center" shrinkToFit="1"/>
    </xf>
    <xf numFmtId="0" fontId="8" fillId="0" borderId="121" xfId="3" applyFont="1" applyBorder="1" applyAlignment="1">
      <alignment horizontal="center" vertical="center" shrinkToFit="1"/>
    </xf>
    <xf numFmtId="0" fontId="8" fillId="0" borderId="115" xfId="3" applyFont="1" applyBorder="1" applyAlignment="1">
      <alignment horizontal="center" vertical="center" shrinkToFit="1"/>
    </xf>
    <xf numFmtId="0" fontId="8" fillId="0" borderId="116" xfId="3" applyFont="1" applyBorder="1" applyAlignment="1">
      <alignment horizontal="center" vertical="center" shrinkToFit="1"/>
    </xf>
    <xf numFmtId="0" fontId="8" fillId="0" borderId="127" xfId="3" applyFont="1" applyBorder="1" applyAlignment="1">
      <alignment horizontal="center" vertical="center" shrinkToFit="1"/>
    </xf>
    <xf numFmtId="0" fontId="8" fillId="0" borderId="51" xfId="3" applyFont="1" applyFill="1" applyBorder="1" applyAlignment="1">
      <alignment horizontal="center" vertical="center" shrinkToFit="1"/>
    </xf>
    <xf numFmtId="0" fontId="5" fillId="0" borderId="122" xfId="3" applyFont="1" applyBorder="1" applyAlignment="1">
      <alignment horizontal="center" vertical="center" shrinkToFit="1"/>
    </xf>
    <xf numFmtId="0" fontId="5" fillId="0" borderId="128" xfId="3" applyFont="1" applyBorder="1" applyAlignment="1">
      <alignment horizontal="center" vertical="center" shrinkToFit="1"/>
    </xf>
    <xf numFmtId="0" fontId="8" fillId="0" borderId="122" xfId="3" applyFont="1" applyBorder="1" applyAlignment="1">
      <alignment horizontal="center" vertical="center" shrinkToFit="1"/>
    </xf>
    <xf numFmtId="0" fontId="8" fillId="0" borderId="126" xfId="3" applyFont="1" applyBorder="1" applyAlignment="1">
      <alignment horizontal="center" vertical="center" shrinkToFit="1"/>
    </xf>
    <xf numFmtId="0" fontId="5" fillId="0" borderId="46" xfId="3" applyFont="1" applyBorder="1" applyAlignment="1">
      <alignment horizontal="center" vertical="center" shrinkToFit="1"/>
    </xf>
    <xf numFmtId="0" fontId="5" fillId="0" borderId="124" xfId="3" applyFont="1" applyBorder="1" applyAlignment="1">
      <alignment horizontal="center" vertical="center" shrinkToFit="1"/>
    </xf>
    <xf numFmtId="0" fontId="5" fillId="0" borderId="45" xfId="3" applyFont="1" applyBorder="1" applyAlignment="1">
      <alignment horizontal="center" vertical="center" shrinkToFit="1"/>
    </xf>
    <xf numFmtId="0" fontId="8" fillId="0" borderId="123" xfId="3" applyFont="1" applyBorder="1" applyAlignment="1">
      <alignment horizontal="center" vertical="center" shrinkToFit="1"/>
    </xf>
    <xf numFmtId="0" fontId="5" fillId="0" borderId="125" xfId="3" applyFont="1" applyBorder="1" applyAlignment="1">
      <alignment horizontal="center" vertical="center" shrinkToFit="1"/>
    </xf>
    <xf numFmtId="0" fontId="5" fillId="0" borderId="123" xfId="3" applyFont="1" applyBorder="1" applyAlignment="1">
      <alignment horizontal="center" vertical="center" shrinkToFit="1"/>
    </xf>
    <xf numFmtId="0" fontId="8" fillId="0" borderId="55" xfId="3" applyFont="1" applyBorder="1" applyAlignment="1">
      <alignment horizontal="center" vertical="center" shrinkToFit="1"/>
    </xf>
    <xf numFmtId="0" fontId="5" fillId="0" borderId="28" xfId="3" applyFont="1" applyBorder="1" applyAlignment="1">
      <alignment horizontal="center" vertical="center"/>
    </xf>
    <xf numFmtId="0" fontId="5" fillId="0" borderId="107" xfId="4" applyFont="1" applyBorder="1" applyAlignment="1" applyProtection="1">
      <alignment horizontal="center" vertical="center" shrinkToFit="1"/>
      <protection locked="0"/>
    </xf>
    <xf numFmtId="0" fontId="8" fillId="0" borderId="108" xfId="3" applyFont="1" applyBorder="1" applyAlignment="1">
      <alignment horizontal="center" vertical="center" shrinkToFit="1"/>
    </xf>
    <xf numFmtId="0" fontId="8" fillId="0" borderId="109" xfId="3" applyFont="1" applyBorder="1" applyAlignment="1">
      <alignment horizontal="center" vertical="center" shrinkToFit="1"/>
    </xf>
    <xf numFmtId="0" fontId="8" fillId="0" borderId="110" xfId="3" applyFont="1" applyBorder="1" applyAlignment="1">
      <alignment horizontal="center" vertical="center" shrinkToFit="1"/>
    </xf>
    <xf numFmtId="0" fontId="8" fillId="0" borderId="111" xfId="3" applyFont="1" applyBorder="1" applyAlignment="1">
      <alignment horizontal="center" vertical="center" shrinkToFit="1"/>
    </xf>
    <xf numFmtId="0" fontId="8" fillId="0" borderId="114" xfId="3" applyFont="1" applyBorder="1" applyAlignment="1">
      <alignment horizontal="center" vertical="center" shrinkToFit="1"/>
    </xf>
    <xf numFmtId="0" fontId="16" fillId="0" borderId="30" xfId="4" applyFont="1" applyBorder="1" applyAlignment="1" applyProtection="1">
      <alignment horizontal="center" vertical="center" shrinkToFit="1"/>
      <protection locked="0"/>
    </xf>
    <xf numFmtId="177" fontId="14" fillId="0" borderId="0" xfId="2" applyNumberFormat="1" applyFont="1" applyFill="1" applyBorder="1" applyAlignment="1" applyProtection="1">
      <alignment horizontal="center" vertical="center"/>
      <protection locked="0"/>
    </xf>
    <xf numFmtId="0" fontId="5" fillId="0" borderId="37" xfId="2" applyFont="1" applyBorder="1" applyAlignment="1">
      <alignment horizontal="center" vertical="center"/>
    </xf>
    <xf numFmtId="0" fontId="5" fillId="0" borderId="122" xfId="2" applyFont="1" applyBorder="1" applyAlignment="1">
      <alignment horizontal="center" vertical="center" shrinkToFit="1"/>
    </xf>
    <xf numFmtId="0" fontId="5" fillId="0" borderId="125" xfId="2" applyFont="1" applyBorder="1" applyAlignment="1">
      <alignment horizontal="center" vertical="center" shrinkToFit="1"/>
    </xf>
    <xf numFmtId="0" fontId="5" fillId="0" borderId="123" xfId="2" applyFont="1" applyBorder="1" applyAlignment="1">
      <alignment horizontal="center" vertical="center"/>
    </xf>
    <xf numFmtId="0" fontId="5" fillId="0" borderId="122" xfId="2" applyFont="1" applyBorder="1" applyAlignment="1">
      <alignment horizontal="center" vertical="center"/>
    </xf>
    <xf numFmtId="0" fontId="5" fillId="0" borderId="125" xfId="2" applyFont="1" applyBorder="1" applyAlignment="1">
      <alignment horizontal="center" vertical="center"/>
    </xf>
    <xf numFmtId="0" fontId="5" fillId="0" borderId="77" xfId="2" applyFont="1" applyBorder="1" applyAlignment="1">
      <alignment horizontal="center" vertical="center"/>
    </xf>
    <xf numFmtId="0" fontId="5" fillId="0" borderId="52" xfId="2" applyFont="1" applyBorder="1" applyAlignment="1">
      <alignment horizontal="center" vertical="center"/>
    </xf>
    <xf numFmtId="0" fontId="5" fillId="0" borderId="128" xfId="2" applyFont="1" applyBorder="1" applyAlignment="1">
      <alignment horizontal="center" vertical="center"/>
    </xf>
    <xf numFmtId="0" fontId="4" fillId="0" borderId="52" xfId="2" applyFont="1" applyBorder="1" applyAlignment="1">
      <alignment horizontal="center" vertical="center"/>
    </xf>
    <xf numFmtId="0" fontId="4" fillId="0" borderId="34" xfId="2" applyFont="1" applyBorder="1" applyAlignment="1">
      <alignment horizontal="center" vertical="center"/>
    </xf>
    <xf numFmtId="0" fontId="4" fillId="0" borderId="73" xfId="2" applyFont="1" applyBorder="1" applyAlignment="1">
      <alignment horizontal="center" vertical="center"/>
    </xf>
    <xf numFmtId="0" fontId="4" fillId="0" borderId="105" xfId="2" applyFont="1" applyBorder="1" applyAlignment="1">
      <alignment horizontal="center" vertical="center"/>
    </xf>
    <xf numFmtId="0" fontId="4" fillId="0" borderId="95" xfId="2" applyFont="1" applyBorder="1" applyAlignment="1">
      <alignment horizontal="center" vertical="center"/>
    </xf>
    <xf numFmtId="0" fontId="4" fillId="0" borderId="33" xfId="2" applyFont="1" applyBorder="1" applyAlignment="1">
      <alignment horizontal="center" vertical="center"/>
    </xf>
    <xf numFmtId="0" fontId="4" fillId="0" borderId="138" xfId="2" applyFont="1" applyBorder="1" applyAlignment="1">
      <alignment horizontal="center" vertical="center"/>
    </xf>
    <xf numFmtId="0" fontId="4" fillId="0" borderId="132" xfId="2" applyFont="1" applyBorder="1" applyAlignment="1">
      <alignment horizontal="center" vertical="center"/>
    </xf>
    <xf numFmtId="0" fontId="4" fillId="0" borderId="25" xfId="2" applyFont="1" applyBorder="1" applyAlignment="1">
      <alignment horizontal="center" vertical="center"/>
    </xf>
    <xf numFmtId="0" fontId="4" fillId="0" borderId="26" xfId="2" applyFont="1" applyBorder="1" applyAlignment="1">
      <alignment horizontal="center" vertical="center"/>
    </xf>
    <xf numFmtId="0" fontId="4" fillId="0" borderId="100" xfId="2" applyFont="1" applyBorder="1" applyAlignment="1">
      <alignment horizontal="center" vertical="center"/>
    </xf>
    <xf numFmtId="0" fontId="4" fillId="0" borderId="143" xfId="2" applyFont="1" applyBorder="1" applyAlignment="1">
      <alignment horizontal="center" vertical="center"/>
    </xf>
    <xf numFmtId="0" fontId="4" fillId="0" borderId="144" xfId="2" applyFont="1" applyBorder="1" applyAlignment="1">
      <alignment horizontal="center" vertical="center"/>
    </xf>
    <xf numFmtId="0" fontId="4" fillId="0" borderId="145" xfId="2" applyFont="1" applyBorder="1" applyAlignment="1">
      <alignment horizontal="center" vertical="center"/>
    </xf>
    <xf numFmtId="0" fontId="4" fillId="0" borderId="137" xfId="2" applyFont="1" applyBorder="1" applyAlignment="1">
      <alignment horizontal="center" vertical="center"/>
    </xf>
    <xf numFmtId="0" fontId="4" fillId="0" borderId="142" xfId="2" applyFont="1" applyBorder="1" applyAlignment="1">
      <alignment horizontal="center" vertical="center"/>
    </xf>
    <xf numFmtId="0" fontId="5" fillId="0" borderId="127" xfId="2" applyFont="1" applyBorder="1" applyAlignment="1">
      <alignment horizontal="center" vertical="center"/>
    </xf>
    <xf numFmtId="0" fontId="5" fillId="0" borderId="137" xfId="4" applyFont="1" applyBorder="1" applyAlignment="1" applyProtection="1">
      <alignment horizontal="center" vertical="center" shrinkToFit="1"/>
      <protection locked="0"/>
    </xf>
    <xf numFmtId="0" fontId="5" fillId="0" borderId="142" xfId="4" applyFont="1" applyBorder="1" applyAlignment="1" applyProtection="1">
      <alignment horizontal="center" vertical="center" shrinkToFit="1"/>
      <protection locked="0"/>
    </xf>
    <xf numFmtId="0" fontId="5" fillId="0" borderId="30" xfId="2" applyFont="1" applyBorder="1" applyAlignment="1">
      <alignment horizontal="center" vertical="center"/>
    </xf>
    <xf numFmtId="0" fontId="5" fillId="0" borderId="0" xfId="2" applyFont="1" applyBorder="1" applyAlignment="1">
      <alignment horizontal="center" vertical="center"/>
    </xf>
    <xf numFmtId="0" fontId="5" fillId="0" borderId="29" xfId="2" applyFont="1" applyBorder="1" applyAlignment="1">
      <alignment horizontal="center" vertical="center"/>
    </xf>
    <xf numFmtId="0" fontId="5" fillId="0" borderId="2" xfId="2" applyFont="1" applyBorder="1" applyAlignment="1">
      <alignment horizontal="center" vertical="center"/>
    </xf>
    <xf numFmtId="0" fontId="5" fillId="0" borderId="120" xfId="2" applyFont="1" applyBorder="1" applyAlignment="1">
      <alignment horizontal="center" vertical="center"/>
    </xf>
    <xf numFmtId="0" fontId="5" fillId="0" borderId="112" xfId="2" applyFont="1" applyBorder="1" applyAlignment="1">
      <alignment horizontal="center" vertical="center"/>
    </xf>
    <xf numFmtId="0" fontId="5" fillId="0" borderId="113" xfId="2" applyFont="1" applyBorder="1" applyAlignment="1">
      <alignment horizontal="center" vertical="center"/>
    </xf>
    <xf numFmtId="0" fontId="5" fillId="0" borderId="146" xfId="2" applyFont="1" applyBorder="1" applyAlignment="1">
      <alignment horizontal="center" vertical="center"/>
    </xf>
    <xf numFmtId="0" fontId="5" fillId="0" borderId="130" xfId="2" applyFont="1" applyBorder="1" applyAlignment="1">
      <alignment horizontal="center" vertical="center"/>
    </xf>
    <xf numFmtId="0" fontId="5" fillId="0" borderId="147" xfId="2" applyFont="1" applyBorder="1" applyAlignment="1">
      <alignment horizontal="center" vertical="center"/>
    </xf>
    <xf numFmtId="0" fontId="4" fillId="0" borderId="2" xfId="2" applyFont="1" applyBorder="1" applyAlignment="1">
      <alignment horizontal="center" vertical="center"/>
    </xf>
    <xf numFmtId="0" fontId="4" fillId="0" borderId="12" xfId="2" applyFont="1" applyBorder="1" applyAlignment="1">
      <alignment horizontal="center" vertical="center"/>
    </xf>
    <xf numFmtId="0" fontId="4" fillId="0" borderId="140" xfId="2" applyFont="1" applyBorder="1" applyAlignment="1">
      <alignment horizontal="center" vertical="center"/>
    </xf>
    <xf numFmtId="0" fontId="4" fillId="0" borderId="136" xfId="2" applyFont="1" applyBorder="1" applyAlignment="1">
      <alignment horizontal="center" vertical="center"/>
    </xf>
    <xf numFmtId="0" fontId="5" fillId="0" borderId="95" xfId="2" applyFont="1" applyBorder="1" applyAlignment="1">
      <alignment horizontal="center" vertical="center"/>
    </xf>
    <xf numFmtId="0" fontId="4" fillId="0" borderId="29" xfId="2" applyFont="1" applyBorder="1" applyAlignment="1">
      <alignment horizontal="center" vertical="center"/>
    </xf>
    <xf numFmtId="0" fontId="4" fillId="0" borderId="36" xfId="2" applyFont="1" applyBorder="1" applyAlignment="1">
      <alignment horizontal="center" vertical="center"/>
    </xf>
    <xf numFmtId="0" fontId="5" fillId="0" borderId="138" xfId="4" applyFont="1" applyBorder="1" applyAlignment="1" applyProtection="1">
      <alignment horizontal="center" vertical="center" shrinkToFit="1"/>
      <protection locked="0"/>
    </xf>
    <xf numFmtId="0" fontId="5" fillId="0" borderId="132" xfId="4" applyFont="1" applyBorder="1" applyAlignment="1" applyProtection="1">
      <alignment horizontal="center" vertical="center" shrinkToFit="1"/>
      <protection locked="0"/>
    </xf>
    <xf numFmtId="0" fontId="5" fillId="0" borderId="106" xfId="2" applyFont="1" applyBorder="1" applyAlignment="1">
      <alignment horizontal="center" vertical="center"/>
    </xf>
    <xf numFmtId="0" fontId="4" fillId="0" borderId="139" xfId="2" applyFont="1" applyBorder="1" applyAlignment="1">
      <alignment horizontal="center" vertical="center"/>
    </xf>
    <xf numFmtId="0" fontId="4" fillId="0" borderId="133" xfId="2" applyFont="1" applyBorder="1" applyAlignment="1">
      <alignment horizontal="center" vertical="center"/>
    </xf>
    <xf numFmtId="0" fontId="5" fillId="0" borderId="117" xfId="2" applyFont="1" applyBorder="1" applyAlignment="1">
      <alignment horizontal="center" vertical="center"/>
    </xf>
    <xf numFmtId="0" fontId="5" fillId="0" borderId="118" xfId="2" applyFont="1" applyBorder="1" applyAlignment="1">
      <alignment horizontal="center" vertical="center"/>
    </xf>
    <xf numFmtId="0" fontId="5" fillId="0" borderId="119" xfId="2" applyFont="1" applyBorder="1" applyAlignment="1">
      <alignment horizontal="center" vertical="center"/>
    </xf>
    <xf numFmtId="0" fontId="5" fillId="0" borderId="121" xfId="2" applyFont="1" applyBorder="1" applyAlignment="1">
      <alignment horizontal="center" vertical="center"/>
    </xf>
    <xf numFmtId="0" fontId="5" fillId="0" borderId="115" xfId="2" applyFont="1" applyBorder="1" applyAlignment="1">
      <alignment horizontal="center" vertical="center"/>
    </xf>
    <xf numFmtId="0" fontId="5" fillId="0" borderId="116" xfId="2" applyFont="1" applyBorder="1" applyAlignment="1">
      <alignment horizontal="center" vertical="center"/>
    </xf>
    <xf numFmtId="0" fontId="5" fillId="0" borderId="141" xfId="2" applyFont="1" applyBorder="1" applyAlignment="1">
      <alignment horizontal="center" vertical="center"/>
    </xf>
    <xf numFmtId="0" fontId="4" fillId="0" borderId="24" xfId="2" applyFont="1" applyBorder="1" applyAlignment="1">
      <alignment horizontal="center" vertical="center"/>
    </xf>
    <xf numFmtId="0" fontId="4" fillId="0" borderId="134" xfId="2" applyFont="1" applyBorder="1" applyAlignment="1">
      <alignment horizontal="center" vertical="center"/>
    </xf>
    <xf numFmtId="0" fontId="4" fillId="0" borderId="135" xfId="2" applyFont="1" applyBorder="1" applyAlignment="1">
      <alignment horizontal="center" vertical="center"/>
    </xf>
    <xf numFmtId="0" fontId="4" fillId="0" borderId="27" xfId="2" applyFont="1" applyBorder="1" applyAlignment="1">
      <alignment horizontal="center" vertical="center"/>
    </xf>
    <xf numFmtId="0" fontId="4" fillId="0" borderId="137" xfId="2" applyFont="1" applyBorder="1" applyAlignment="1" applyProtection="1">
      <alignment horizontal="center" vertical="center"/>
      <protection locked="0"/>
    </xf>
    <xf numFmtId="0" fontId="4" fillId="0" borderId="132" xfId="2" applyFont="1" applyBorder="1" applyAlignment="1" applyProtection="1">
      <alignment horizontal="center" vertical="center"/>
      <protection locked="0"/>
    </xf>
    <xf numFmtId="0" fontId="5" fillId="0" borderId="27" xfId="4" applyFont="1" applyBorder="1" applyAlignment="1" applyProtection="1">
      <alignment horizontal="center" vertical="center" shrinkToFit="1"/>
      <protection locked="0"/>
    </xf>
    <xf numFmtId="0" fontId="5" fillId="0" borderId="108" xfId="2" applyFont="1" applyBorder="1" applyAlignment="1">
      <alignment horizontal="center" vertical="center"/>
    </xf>
    <xf numFmtId="0" fontId="5" fillId="0" borderId="109" xfId="2" applyFont="1" applyBorder="1" applyAlignment="1">
      <alignment horizontal="center" vertical="center"/>
    </xf>
    <xf numFmtId="0" fontId="5" fillId="0" borderId="110" xfId="2" applyFont="1" applyBorder="1" applyAlignment="1">
      <alignment horizontal="center" vertical="center"/>
    </xf>
    <xf numFmtId="0" fontId="5" fillId="0" borderId="114" xfId="2" applyFont="1" applyBorder="1" applyAlignment="1">
      <alignment horizontal="center" vertical="center"/>
    </xf>
    <xf numFmtId="0" fontId="5" fillId="0" borderId="123" xfId="2" applyFont="1" applyBorder="1" applyAlignment="1">
      <alignment horizontal="center" vertical="center" shrinkToFit="1"/>
    </xf>
    <xf numFmtId="0" fontId="5" fillId="0" borderId="77" xfId="0" applyFont="1" applyBorder="1" applyAlignment="1">
      <alignment horizontal="right" vertical="center"/>
    </xf>
    <xf numFmtId="0" fontId="5" fillId="0" borderId="0" xfId="0" applyFont="1" applyAlignment="1">
      <alignment horizontal="left" vertical="center"/>
    </xf>
    <xf numFmtId="0" fontId="0" fillId="0" borderId="0" xfId="0" applyAlignment="1">
      <alignment horizontal="left"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1" fillId="0" borderId="38" xfId="0" applyFont="1" applyBorder="1" applyAlignment="1">
      <alignment horizontal="left" vertical="center"/>
    </xf>
    <xf numFmtId="0" fontId="11" fillId="0" borderId="39" xfId="0" applyFont="1" applyBorder="1" applyAlignment="1">
      <alignment horizontal="left" vertical="center"/>
    </xf>
    <xf numFmtId="0" fontId="11" fillId="0" borderId="40" xfId="0" applyFont="1" applyBorder="1" applyAlignment="1">
      <alignment horizontal="left" vertical="center"/>
    </xf>
    <xf numFmtId="0" fontId="10" fillId="0" borderId="0" xfId="0" applyFont="1" applyAlignment="1">
      <alignment horizontal="center" vertical="center"/>
    </xf>
    <xf numFmtId="0" fontId="21" fillId="0" borderId="0" xfId="0" applyFont="1" applyAlignment="1">
      <alignment horizontal="center" vertical="center"/>
    </xf>
  </cellXfs>
  <cellStyles count="6">
    <cellStyle name="標準" xfId="0" builtinId="0"/>
    <cellStyle name="標準 2" xfId="1"/>
    <cellStyle name="標準_Rivfr Cup League" xfId="2"/>
    <cellStyle name="標準_Rivfr Cup League_2009南河内Ｃリーグ" xfId="3"/>
    <cellStyle name="標準_Rivfr Cup League_U-18星取表" xfId="4"/>
    <cellStyle name="標準_堺市種目別大会文書" xfId="5"/>
  </cellStyles>
  <dxfs count="9">
    <dxf>
      <fill>
        <patternFill>
          <bgColor rgb="FF99FF66"/>
        </patternFill>
      </fill>
    </dxf>
    <dxf>
      <fill>
        <patternFill>
          <bgColor rgb="FF99FF66"/>
        </patternFill>
      </fill>
    </dxf>
    <dxf>
      <fill>
        <patternFill>
          <bgColor rgb="FF99FF66"/>
        </patternFill>
      </fill>
    </dxf>
    <dxf>
      <fill>
        <patternFill>
          <bgColor rgb="FF99FF66"/>
        </patternFill>
      </fill>
    </dxf>
    <dxf>
      <fill>
        <patternFill>
          <bgColor rgb="FF99FF66"/>
        </patternFill>
      </fill>
    </dxf>
    <dxf>
      <font>
        <color theme="0" tint="-0.24994659260841701"/>
      </font>
      <fill>
        <patternFill>
          <bgColor theme="0" tint="-0.24994659260841701"/>
        </patternFill>
      </fill>
    </dxf>
    <dxf>
      <font>
        <color theme="0" tint="-0.34998626667073579"/>
      </font>
    </dxf>
    <dxf>
      <font>
        <b/>
        <i/>
        <condense val="0"/>
        <extend val="0"/>
        <color indexed="10"/>
      </font>
    </dxf>
    <dxf>
      <fill>
        <patternFill>
          <bgColor rgb="FF99FF6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AS74"/>
  <sheetViews>
    <sheetView view="pageBreakPreview" zoomScale="70" zoomScaleSheetLayoutView="70" workbookViewId="0">
      <pane ySplit="2" topLeftCell="A27" activePane="bottomLeft" state="frozen"/>
      <selection pane="bottomLeft" activeCell="P29" sqref="P29"/>
    </sheetView>
  </sheetViews>
  <sheetFormatPr defaultRowHeight="27.75" customHeight="1"/>
  <cols>
    <col min="1" max="1" width="8.125" style="84" customWidth="1"/>
    <col min="2" max="2" width="4.125" style="84" customWidth="1"/>
    <col min="3" max="3" width="4" style="195" customWidth="1"/>
    <col min="4" max="4" width="3.375" style="84" bestFit="1" customWidth="1"/>
    <col min="5" max="5" width="4" style="195" customWidth="1"/>
    <col min="6" max="6" width="3.375" style="84" bestFit="1" customWidth="1"/>
    <col min="7" max="7" width="4.625" style="84" bestFit="1" customWidth="1"/>
    <col min="8" max="8" width="16.25" style="84" customWidth="1"/>
    <col min="9" max="9" width="9.25" style="84" bestFit="1" customWidth="1"/>
    <col min="10" max="10" width="15.125" style="84" customWidth="1"/>
    <col min="11" max="13" width="2.625" style="84" customWidth="1"/>
    <col min="14" max="14" width="15" style="84" customWidth="1"/>
    <col min="15" max="16" width="12.5" style="84" customWidth="1"/>
    <col min="17" max="17" width="13.375" style="84" customWidth="1"/>
    <col min="18" max="18" width="6.5" style="84" hidden="1" customWidth="1"/>
    <col min="19" max="19" width="9.5" style="84" hidden="1" customWidth="1"/>
    <col min="20" max="20" width="5.625" style="84" hidden="1" customWidth="1"/>
    <col min="21" max="23" width="6" style="84" hidden="1" customWidth="1"/>
    <col min="24" max="24" width="13.25" style="84" customWidth="1"/>
    <col min="25" max="25" width="3.25" style="84" customWidth="1"/>
    <col min="26" max="26" width="12.375" style="84" customWidth="1"/>
    <col min="27" max="27" width="3.25" style="84" customWidth="1"/>
    <col min="28" max="28" width="12.375" style="84" customWidth="1"/>
    <col min="29" max="29" width="13.375" style="84" customWidth="1"/>
    <col min="30" max="30" width="3.25" style="84" customWidth="1"/>
    <col min="31" max="31" width="12.375" style="84" customWidth="1"/>
    <col min="32" max="32" width="3.25" style="84" customWidth="1"/>
    <col min="33" max="33" width="12.375" style="84" customWidth="1"/>
    <col min="34" max="34" width="16.25" style="84" customWidth="1"/>
    <col min="35" max="35" width="32.875" style="84" customWidth="1"/>
    <col min="36" max="36" width="28.875" style="84" hidden="1" customWidth="1"/>
    <col min="37" max="37" width="5" style="84" customWidth="1"/>
    <col min="38" max="38" width="25.75" style="84" customWidth="1"/>
    <col min="39" max="39" width="28.875" style="84" hidden="1" customWidth="1"/>
    <col min="40" max="40" width="5" style="84" customWidth="1"/>
    <col min="41" max="41" width="25.75" style="84" customWidth="1"/>
    <col min="42" max="42" width="8.625" style="84" customWidth="1"/>
    <col min="43" max="43" width="4.125" style="84" customWidth="1"/>
    <col min="44" max="44" width="13.875" style="84" customWidth="1"/>
    <col min="45" max="45" width="19.375" style="84" customWidth="1"/>
    <col min="46" max="46" width="5.25" style="84" customWidth="1"/>
    <col min="47" max="47" width="17.875" style="84" customWidth="1"/>
    <col min="48" max="16384" width="9" style="84"/>
  </cols>
  <sheetData>
    <row r="1" spans="1:34" ht="24" customHeight="1">
      <c r="A1" s="222" t="s">
        <v>38</v>
      </c>
      <c r="B1" s="347" t="s">
        <v>209</v>
      </c>
      <c r="C1" s="348"/>
      <c r="D1" s="348"/>
      <c r="E1" s="348"/>
      <c r="F1" s="348"/>
      <c r="G1" s="348"/>
      <c r="H1" s="348"/>
      <c r="I1" s="348"/>
      <c r="J1" s="348"/>
      <c r="K1" s="348"/>
      <c r="L1" s="348"/>
      <c r="M1" s="348"/>
      <c r="N1" s="348"/>
      <c r="O1" s="314" t="s">
        <v>206</v>
      </c>
      <c r="P1" s="341" t="s">
        <v>210</v>
      </c>
      <c r="Q1" s="342"/>
      <c r="S1" s="176" t="s">
        <v>48</v>
      </c>
      <c r="X1" s="335" t="s">
        <v>78</v>
      </c>
      <c r="Y1" s="336"/>
      <c r="Z1" s="336"/>
      <c r="AA1" s="336"/>
      <c r="AB1" s="336"/>
      <c r="AC1" s="336"/>
      <c r="AD1" s="336"/>
      <c r="AE1" s="336"/>
      <c r="AF1" s="336"/>
      <c r="AG1" s="337"/>
      <c r="AH1" s="178"/>
    </row>
    <row r="2" spans="1:34" ht="19.5" customHeight="1">
      <c r="A2" s="175" t="s">
        <v>46</v>
      </c>
      <c r="B2" s="93" t="s">
        <v>10</v>
      </c>
      <c r="C2" s="343" t="s">
        <v>11</v>
      </c>
      <c r="D2" s="344"/>
      <c r="E2" s="344" t="s">
        <v>12</v>
      </c>
      <c r="F2" s="344"/>
      <c r="G2" s="94"/>
      <c r="H2" s="95" t="s">
        <v>13</v>
      </c>
      <c r="I2" s="96" t="s">
        <v>15</v>
      </c>
      <c r="J2" s="345" t="s">
        <v>44</v>
      </c>
      <c r="K2" s="344"/>
      <c r="L2" s="344"/>
      <c r="M2" s="344"/>
      <c r="N2" s="346"/>
      <c r="O2" s="130" t="s">
        <v>21</v>
      </c>
      <c r="P2" s="95" t="s">
        <v>21</v>
      </c>
      <c r="Q2" s="91" t="s">
        <v>22</v>
      </c>
      <c r="R2" s="179" t="s">
        <v>19</v>
      </c>
      <c r="S2" s="179" t="s">
        <v>20</v>
      </c>
      <c r="T2" s="180" t="s">
        <v>47</v>
      </c>
      <c r="U2" s="84" t="s">
        <v>42</v>
      </c>
      <c r="V2" s="84" t="s">
        <v>42</v>
      </c>
      <c r="W2" s="84" t="s">
        <v>43</v>
      </c>
      <c r="X2" s="94" t="s">
        <v>70</v>
      </c>
      <c r="Y2" s="95" t="s">
        <v>71</v>
      </c>
      <c r="Z2" s="95" t="s">
        <v>72</v>
      </c>
      <c r="AA2" s="95" t="s">
        <v>73</v>
      </c>
      <c r="AB2" s="125" t="s">
        <v>72</v>
      </c>
      <c r="AC2" s="93" t="s">
        <v>74</v>
      </c>
      <c r="AD2" s="95" t="s">
        <v>71</v>
      </c>
      <c r="AE2" s="95" t="s">
        <v>72</v>
      </c>
      <c r="AF2" s="95" t="s">
        <v>73</v>
      </c>
      <c r="AG2" s="125" t="s">
        <v>72</v>
      </c>
      <c r="AH2" s="127" t="s">
        <v>45</v>
      </c>
    </row>
    <row r="3" spans="1:34" ht="19.5" customHeight="1">
      <c r="A3" s="97"/>
      <c r="B3" s="98">
        <v>42</v>
      </c>
      <c r="C3" s="99">
        <f t="shared" ref="C3:C47" si="0">IF(G3="","",MONTH(G3))</f>
        <v>6</v>
      </c>
      <c r="D3" s="100" t="s">
        <v>96</v>
      </c>
      <c r="E3" s="101">
        <f t="shared" ref="E3:E47" si="1">IF(G3="","",DAY(G3))</f>
        <v>11</v>
      </c>
      <c r="F3" s="100" t="s">
        <v>97</v>
      </c>
      <c r="G3" s="102">
        <v>42897</v>
      </c>
      <c r="H3" s="103" t="s">
        <v>124</v>
      </c>
      <c r="I3" s="104" t="s">
        <v>128</v>
      </c>
      <c r="J3" s="137" t="str">
        <f>$N$65</f>
        <v>FCボニート</v>
      </c>
      <c r="K3" s="105">
        <v>0</v>
      </c>
      <c r="L3" s="100" t="s">
        <v>5</v>
      </c>
      <c r="M3" s="106">
        <v>1</v>
      </c>
      <c r="N3" s="124" t="str">
        <f>$N$61</f>
        <v>カルシオフットボールクラブ</v>
      </c>
      <c r="O3" s="132" t="s">
        <v>104</v>
      </c>
      <c r="P3" s="131" t="s">
        <v>98</v>
      </c>
      <c r="Q3" s="124" t="s">
        <v>104</v>
      </c>
      <c r="R3" s="156" t="str">
        <f t="shared" ref="R3:R47" si="2">C3&amp;"/"&amp;E3</f>
        <v>6/11</v>
      </c>
      <c r="S3" s="156">
        <f t="shared" ref="S3:S47" si="3">IF(C3="","",YEAR(G3)*10000+C3*100+E3)</f>
        <v>20170611</v>
      </c>
      <c r="T3" s="156">
        <f t="shared" ref="T3:T47" si="4">IF(H3="","",B3)</f>
        <v>42</v>
      </c>
      <c r="U3" s="156">
        <f t="shared" ref="U3:U47" si="5">IF(O3="","",VLOOKUP(O3,$N$56:$R$65,5,0))</f>
        <v>0</v>
      </c>
      <c r="V3" s="156">
        <f t="shared" ref="V3:V47" si="6">IF(P3="","",VLOOKUP(P3,$N$56:$R$65,5,0))</f>
        <v>0</v>
      </c>
      <c r="W3" s="156">
        <f t="shared" ref="W3:W47" si="7">IF(Q3="","",VLOOKUP(Q3,$N$56:$R$65,5,0))</f>
        <v>0</v>
      </c>
      <c r="X3" s="126" t="str">
        <f t="shared" ref="X3:X47" si="8">J3</f>
        <v>FCボニート</v>
      </c>
      <c r="Y3" s="103" t="s">
        <v>133</v>
      </c>
      <c r="Z3" s="103" t="str">
        <f t="shared" ref="Z3:Z47" si="9">IF(Y3="","",VLOOKUP(X3&amp;Y3,$AJ$55:$AL$100,3,0))</f>
        <v>白－紺－白</v>
      </c>
      <c r="AA3" s="103" t="s">
        <v>133</v>
      </c>
      <c r="AB3" s="103" t="str">
        <f t="shared" ref="AB3:AB47" si="10">IF(AA3="","",VLOOKUP(X3&amp;AA3,$AM$55:$AO$100,3,0))</f>
        <v>紺－紺－紺</v>
      </c>
      <c r="AC3" s="98" t="str">
        <f t="shared" ref="AC3:AC47" si="11">N3</f>
        <v>カルシオフットボールクラブ</v>
      </c>
      <c r="AD3" s="103" t="s">
        <v>133</v>
      </c>
      <c r="AE3" s="103" t="str">
        <f t="shared" ref="AE3:AE47" si="12">IF(AD3="","",VLOOKUP(AC3&amp;AD3,$AJ$55:$AL$100,3,0))</f>
        <v>青－青－青</v>
      </c>
      <c r="AF3" s="103" t="s">
        <v>133</v>
      </c>
      <c r="AG3" s="181" t="str">
        <f t="shared" ref="AG3:AG47" si="13">IF(AF3="","",VLOOKUP(AC3&amp;AF3,$AM$55:$AO$100,3,0))</f>
        <v>黄－黒－黄</v>
      </c>
      <c r="AH3" s="128"/>
    </row>
    <row r="4" spans="1:34" ht="19.5" customHeight="1">
      <c r="A4" s="107"/>
      <c r="B4" s="157">
        <v>3</v>
      </c>
      <c r="C4" s="158">
        <f t="shared" si="0"/>
        <v>6</v>
      </c>
      <c r="D4" s="134" t="s">
        <v>16</v>
      </c>
      <c r="E4" s="159">
        <f t="shared" si="1"/>
        <v>11</v>
      </c>
      <c r="F4" s="134" t="s">
        <v>17</v>
      </c>
      <c r="G4" s="160">
        <v>42897</v>
      </c>
      <c r="H4" s="161" t="s">
        <v>124</v>
      </c>
      <c r="I4" s="162" t="s">
        <v>126</v>
      </c>
      <c r="J4" s="139" t="str">
        <f>$N$58</f>
        <v>パナソニックES社サッカー部</v>
      </c>
      <c r="K4" s="133">
        <v>2</v>
      </c>
      <c r="L4" s="134" t="s">
        <v>5</v>
      </c>
      <c r="M4" s="135">
        <v>2</v>
      </c>
      <c r="N4" s="136" t="str">
        <f>$N$57</f>
        <v>阪南FC</v>
      </c>
      <c r="O4" s="163" t="s">
        <v>101</v>
      </c>
      <c r="P4" s="164" t="s">
        <v>79</v>
      </c>
      <c r="Q4" s="136" t="s">
        <v>79</v>
      </c>
      <c r="R4" s="167" t="str">
        <f t="shared" si="2"/>
        <v>6/11</v>
      </c>
      <c r="S4" s="167">
        <f t="shared" si="3"/>
        <v>20170611</v>
      </c>
      <c r="T4" s="167">
        <f t="shared" si="4"/>
        <v>3</v>
      </c>
      <c r="U4" s="167">
        <f t="shared" si="5"/>
        <v>0</v>
      </c>
      <c r="V4" s="167">
        <f t="shared" si="6"/>
        <v>0</v>
      </c>
      <c r="W4" s="167">
        <f t="shared" si="7"/>
        <v>0</v>
      </c>
      <c r="X4" s="168" t="str">
        <f t="shared" si="8"/>
        <v>パナソニックES社サッカー部</v>
      </c>
      <c r="Y4" s="161" t="s">
        <v>133</v>
      </c>
      <c r="Z4" s="161" t="str">
        <f t="shared" si="9"/>
        <v>青－青－青</v>
      </c>
      <c r="AA4" s="161" t="s">
        <v>133</v>
      </c>
      <c r="AB4" s="169" t="str">
        <f t="shared" si="10"/>
        <v>ピンク－ピンク－ピンク</v>
      </c>
      <c r="AC4" s="157" t="str">
        <f t="shared" si="11"/>
        <v>阪南FC</v>
      </c>
      <c r="AD4" s="161" t="s">
        <v>134</v>
      </c>
      <c r="AE4" s="161" t="str">
        <f t="shared" si="12"/>
        <v>白－白－白</v>
      </c>
      <c r="AF4" s="161" t="s">
        <v>133</v>
      </c>
      <c r="AG4" s="169" t="str">
        <f t="shared" si="13"/>
        <v>黄－黄－黄</v>
      </c>
      <c r="AH4" s="129"/>
    </row>
    <row r="5" spans="1:34" ht="19.5" customHeight="1">
      <c r="A5" s="107"/>
      <c r="B5" s="98">
        <v>20</v>
      </c>
      <c r="C5" s="99">
        <f t="shared" si="0"/>
        <v>6</v>
      </c>
      <c r="D5" s="100" t="s">
        <v>16</v>
      </c>
      <c r="E5" s="101">
        <f t="shared" si="1"/>
        <v>18</v>
      </c>
      <c r="F5" s="100" t="s">
        <v>17</v>
      </c>
      <c r="G5" s="102">
        <v>42904</v>
      </c>
      <c r="H5" s="103" t="s">
        <v>125</v>
      </c>
      <c r="I5" s="104" t="s">
        <v>129</v>
      </c>
      <c r="J5" s="137" t="str">
        <f>$N$62</f>
        <v>BTMU</v>
      </c>
      <c r="K5" s="105">
        <v>0</v>
      </c>
      <c r="L5" s="100" t="s">
        <v>5</v>
      </c>
      <c r="M5" s="106">
        <v>3</v>
      </c>
      <c r="N5" s="124" t="str">
        <f>$N$60</f>
        <v>大阪教員クラブ</v>
      </c>
      <c r="O5" s="132" t="s">
        <v>100</v>
      </c>
      <c r="P5" s="131" t="s">
        <v>102</v>
      </c>
      <c r="Q5" s="124" t="s">
        <v>102</v>
      </c>
      <c r="R5" s="165" t="str">
        <f t="shared" si="2"/>
        <v>6/18</v>
      </c>
      <c r="S5" s="165">
        <f t="shared" si="3"/>
        <v>20170618</v>
      </c>
      <c r="T5" s="165">
        <f t="shared" si="4"/>
        <v>20</v>
      </c>
      <c r="U5" s="165">
        <f t="shared" si="5"/>
        <v>0</v>
      </c>
      <c r="V5" s="165">
        <f t="shared" si="6"/>
        <v>0</v>
      </c>
      <c r="W5" s="165">
        <f t="shared" si="7"/>
        <v>0</v>
      </c>
      <c r="X5" s="126" t="str">
        <f t="shared" si="8"/>
        <v>BTMU</v>
      </c>
      <c r="Y5" s="103" t="s">
        <v>133</v>
      </c>
      <c r="Z5" s="103" t="str">
        <f t="shared" si="9"/>
        <v>赤－赤－赤</v>
      </c>
      <c r="AA5" s="103" t="s">
        <v>133</v>
      </c>
      <c r="AB5" s="166" t="str">
        <f t="shared" si="10"/>
        <v>緑－緑－緑</v>
      </c>
      <c r="AC5" s="98" t="str">
        <f t="shared" si="11"/>
        <v>大阪教員クラブ</v>
      </c>
      <c r="AD5" s="103" t="s">
        <v>133</v>
      </c>
      <c r="AE5" s="103" t="str">
        <f t="shared" si="12"/>
        <v>青－青－青</v>
      </c>
      <c r="AF5" s="103" t="s">
        <v>134</v>
      </c>
      <c r="AG5" s="166" t="str">
        <f t="shared" si="13"/>
        <v>黄－黒－黒</v>
      </c>
      <c r="AH5" s="128"/>
    </row>
    <row r="6" spans="1:34" ht="19.5" customHeight="1">
      <c r="A6" s="107"/>
      <c r="B6" s="157">
        <v>25</v>
      </c>
      <c r="C6" s="158">
        <f t="shared" si="0"/>
        <v>6</v>
      </c>
      <c r="D6" s="134" t="s">
        <v>16</v>
      </c>
      <c r="E6" s="159">
        <f t="shared" si="1"/>
        <v>18</v>
      </c>
      <c r="F6" s="134" t="s">
        <v>17</v>
      </c>
      <c r="G6" s="160">
        <v>42904</v>
      </c>
      <c r="H6" s="161" t="s">
        <v>125</v>
      </c>
      <c r="I6" s="162" t="s">
        <v>126</v>
      </c>
      <c r="J6" s="139" t="str">
        <f>$N$63</f>
        <v>OKFC2011</v>
      </c>
      <c r="K6" s="133">
        <v>0</v>
      </c>
      <c r="L6" s="134" t="s">
        <v>5</v>
      </c>
      <c r="M6" s="135">
        <v>2</v>
      </c>
      <c r="N6" s="136" t="str">
        <f>$N$59</f>
        <v>枚方フットボールクラブ</v>
      </c>
      <c r="O6" s="163" t="s">
        <v>99</v>
      </c>
      <c r="P6" s="164" t="s">
        <v>68</v>
      </c>
      <c r="Q6" s="136" t="s">
        <v>99</v>
      </c>
      <c r="R6" s="167" t="str">
        <f t="shared" si="2"/>
        <v>6/18</v>
      </c>
      <c r="S6" s="167">
        <f t="shared" si="3"/>
        <v>20170618</v>
      </c>
      <c r="T6" s="167">
        <f t="shared" si="4"/>
        <v>25</v>
      </c>
      <c r="U6" s="167">
        <f t="shared" si="5"/>
        <v>0</v>
      </c>
      <c r="V6" s="167">
        <f t="shared" si="6"/>
        <v>0</v>
      </c>
      <c r="W6" s="167">
        <f t="shared" si="7"/>
        <v>0</v>
      </c>
      <c r="X6" s="168" t="str">
        <f t="shared" si="8"/>
        <v>OKFC2011</v>
      </c>
      <c r="Y6" s="161" t="s">
        <v>133</v>
      </c>
      <c r="Z6" s="161" t="str">
        <f t="shared" si="9"/>
        <v>赤青縦縞－青－赤</v>
      </c>
      <c r="AA6" s="161" t="s">
        <v>134</v>
      </c>
      <c r="AB6" s="169" t="str">
        <f t="shared" si="10"/>
        <v>水色－水色－水色</v>
      </c>
      <c r="AC6" s="157" t="str">
        <f t="shared" si="11"/>
        <v>枚方フットボールクラブ</v>
      </c>
      <c r="AD6" s="161" t="s">
        <v>133</v>
      </c>
      <c r="AE6" s="161" t="str">
        <f t="shared" si="12"/>
        <v>黄－青－白</v>
      </c>
      <c r="AF6" s="161" t="s">
        <v>133</v>
      </c>
      <c r="AG6" s="169" t="str">
        <f t="shared" si="13"/>
        <v>緑－緑－緑</v>
      </c>
      <c r="AH6" s="129" t="s">
        <v>164</v>
      </c>
    </row>
    <row r="7" spans="1:34" ht="19.5" customHeight="1">
      <c r="A7" s="107"/>
      <c r="B7" s="98">
        <v>23</v>
      </c>
      <c r="C7" s="99">
        <f t="shared" si="0"/>
        <v>6</v>
      </c>
      <c r="D7" s="100" t="s">
        <v>16</v>
      </c>
      <c r="E7" s="101">
        <f t="shared" si="1"/>
        <v>25</v>
      </c>
      <c r="F7" s="100" t="s">
        <v>17</v>
      </c>
      <c r="G7" s="102">
        <v>42911</v>
      </c>
      <c r="H7" s="103" t="s">
        <v>130</v>
      </c>
      <c r="I7" s="104" t="s">
        <v>131</v>
      </c>
      <c r="J7" s="137" t="str">
        <f>$N$63</f>
        <v>OKFC2011</v>
      </c>
      <c r="K7" s="105">
        <v>0</v>
      </c>
      <c r="L7" s="100" t="s">
        <v>5</v>
      </c>
      <c r="M7" s="106">
        <v>5</v>
      </c>
      <c r="N7" s="124" t="str">
        <f>$N$57</f>
        <v>阪南FC</v>
      </c>
      <c r="O7" s="132" t="s">
        <v>101</v>
      </c>
      <c r="P7" s="131" t="s">
        <v>103</v>
      </c>
      <c r="Q7" s="124" t="s">
        <v>103</v>
      </c>
      <c r="R7" s="165" t="str">
        <f t="shared" si="2"/>
        <v>6/25</v>
      </c>
      <c r="S7" s="165">
        <f t="shared" si="3"/>
        <v>20170625</v>
      </c>
      <c r="T7" s="165">
        <f t="shared" si="4"/>
        <v>23</v>
      </c>
      <c r="U7" s="165">
        <f t="shared" si="5"/>
        <v>0</v>
      </c>
      <c r="V7" s="165">
        <f t="shared" si="6"/>
        <v>0</v>
      </c>
      <c r="W7" s="165">
        <f t="shared" si="7"/>
        <v>0</v>
      </c>
      <c r="X7" s="126" t="str">
        <f t="shared" si="8"/>
        <v>OKFC2011</v>
      </c>
      <c r="Y7" s="103" t="s">
        <v>133</v>
      </c>
      <c r="Z7" s="103" t="str">
        <f t="shared" si="9"/>
        <v>赤青縦縞－青－赤</v>
      </c>
      <c r="AA7" s="103" t="s">
        <v>134</v>
      </c>
      <c r="AB7" s="166" t="str">
        <f t="shared" si="10"/>
        <v>水色－水色－水色</v>
      </c>
      <c r="AC7" s="98" t="str">
        <f t="shared" si="11"/>
        <v>阪南FC</v>
      </c>
      <c r="AD7" s="103" t="s">
        <v>134</v>
      </c>
      <c r="AE7" s="103" t="str">
        <f t="shared" si="12"/>
        <v>白－白－白</v>
      </c>
      <c r="AF7" s="103" t="s">
        <v>133</v>
      </c>
      <c r="AG7" s="166" t="str">
        <f t="shared" si="13"/>
        <v>黄－黄－黄</v>
      </c>
      <c r="AH7" s="128" t="s">
        <v>164</v>
      </c>
    </row>
    <row r="8" spans="1:34" ht="19.5" customHeight="1">
      <c r="A8" s="107"/>
      <c r="B8" s="157">
        <v>37</v>
      </c>
      <c r="C8" s="158">
        <f t="shared" si="0"/>
        <v>6</v>
      </c>
      <c r="D8" s="134" t="s">
        <v>16</v>
      </c>
      <c r="E8" s="159">
        <f t="shared" si="1"/>
        <v>25</v>
      </c>
      <c r="F8" s="134" t="s">
        <v>17</v>
      </c>
      <c r="G8" s="160">
        <v>42911</v>
      </c>
      <c r="H8" s="161" t="s">
        <v>130</v>
      </c>
      <c r="I8" s="162" t="s">
        <v>132</v>
      </c>
      <c r="J8" s="139" t="str">
        <f>$N$65</f>
        <v>FCボニート</v>
      </c>
      <c r="K8" s="133">
        <v>0</v>
      </c>
      <c r="L8" s="134" t="s">
        <v>5</v>
      </c>
      <c r="M8" s="135">
        <v>5</v>
      </c>
      <c r="N8" s="136" t="str">
        <f>$N$56</f>
        <v>大阪ガス株式会社サッカー部</v>
      </c>
      <c r="O8" s="163" t="s">
        <v>100</v>
      </c>
      <c r="P8" s="164" t="s">
        <v>98</v>
      </c>
      <c r="Q8" s="136" t="s">
        <v>100</v>
      </c>
      <c r="R8" s="167" t="str">
        <f t="shared" si="2"/>
        <v>6/25</v>
      </c>
      <c r="S8" s="167">
        <f t="shared" si="3"/>
        <v>20170625</v>
      </c>
      <c r="T8" s="167">
        <f t="shared" si="4"/>
        <v>37</v>
      </c>
      <c r="U8" s="167">
        <f t="shared" si="5"/>
        <v>0</v>
      </c>
      <c r="V8" s="167">
        <f t="shared" si="6"/>
        <v>0</v>
      </c>
      <c r="W8" s="167">
        <f t="shared" si="7"/>
        <v>0</v>
      </c>
      <c r="X8" s="168" t="str">
        <f t="shared" si="8"/>
        <v>FCボニート</v>
      </c>
      <c r="Y8" s="161" t="s">
        <v>133</v>
      </c>
      <c r="Z8" s="161" t="str">
        <f t="shared" si="9"/>
        <v>白－紺－白</v>
      </c>
      <c r="AA8" s="161" t="s">
        <v>133</v>
      </c>
      <c r="AB8" s="169" t="str">
        <f t="shared" si="10"/>
        <v>紺－紺－紺</v>
      </c>
      <c r="AC8" s="157" t="str">
        <f t="shared" si="11"/>
        <v>大阪ガス株式会社サッカー部</v>
      </c>
      <c r="AD8" s="161" t="s">
        <v>133</v>
      </c>
      <c r="AE8" s="161" t="str">
        <f t="shared" si="12"/>
        <v>青－青－青</v>
      </c>
      <c r="AF8" s="161" t="s">
        <v>133</v>
      </c>
      <c r="AG8" s="169" t="str">
        <f t="shared" si="13"/>
        <v>黄－黄－黄</v>
      </c>
      <c r="AH8" s="129"/>
    </row>
    <row r="9" spans="1:34" ht="19.5" customHeight="1">
      <c r="A9" s="107"/>
      <c r="B9" s="157">
        <v>14</v>
      </c>
      <c r="C9" s="158">
        <f t="shared" si="0"/>
        <v>6</v>
      </c>
      <c r="D9" s="134" t="s">
        <v>16</v>
      </c>
      <c r="E9" s="159">
        <f t="shared" si="1"/>
        <v>25</v>
      </c>
      <c r="F9" s="134" t="s">
        <v>17</v>
      </c>
      <c r="G9" s="160">
        <v>42911</v>
      </c>
      <c r="H9" s="161" t="s">
        <v>124</v>
      </c>
      <c r="I9" s="162" t="s">
        <v>128</v>
      </c>
      <c r="J9" s="139" t="str">
        <f>$N$61</f>
        <v>カルシオフットボールクラブ</v>
      </c>
      <c r="K9" s="133">
        <v>1</v>
      </c>
      <c r="L9" s="134" t="s">
        <v>5</v>
      </c>
      <c r="M9" s="135">
        <v>0</v>
      </c>
      <c r="N9" s="136" t="str">
        <f>$N$59</f>
        <v>枚方フットボールクラブ</v>
      </c>
      <c r="O9" s="132" t="s">
        <v>68</v>
      </c>
      <c r="P9" s="131" t="s">
        <v>68</v>
      </c>
      <c r="Q9" s="124" t="s">
        <v>68</v>
      </c>
      <c r="R9" s="167" t="str">
        <f t="shared" si="2"/>
        <v>6/25</v>
      </c>
      <c r="S9" s="167">
        <f t="shared" si="3"/>
        <v>20170625</v>
      </c>
      <c r="T9" s="167">
        <f t="shared" si="4"/>
        <v>14</v>
      </c>
      <c r="U9" s="167">
        <f t="shared" si="5"/>
        <v>0</v>
      </c>
      <c r="V9" s="167">
        <f t="shared" si="6"/>
        <v>0</v>
      </c>
      <c r="W9" s="167">
        <f t="shared" si="7"/>
        <v>0</v>
      </c>
      <c r="X9" s="168" t="str">
        <f t="shared" si="8"/>
        <v>カルシオフットボールクラブ</v>
      </c>
      <c r="Y9" s="161" t="s">
        <v>133</v>
      </c>
      <c r="Z9" s="161" t="str">
        <f t="shared" si="9"/>
        <v>青－青－青</v>
      </c>
      <c r="AA9" s="161" t="s">
        <v>133</v>
      </c>
      <c r="AB9" s="169" t="str">
        <f t="shared" si="10"/>
        <v>黄－黒－黄</v>
      </c>
      <c r="AC9" s="157" t="str">
        <f t="shared" si="11"/>
        <v>枚方フットボールクラブ</v>
      </c>
      <c r="AD9" s="161" t="s">
        <v>134</v>
      </c>
      <c r="AE9" s="161" t="str">
        <f t="shared" si="12"/>
        <v>赤－白－赤</v>
      </c>
      <c r="AF9" s="161" t="s">
        <v>133</v>
      </c>
      <c r="AG9" s="169" t="str">
        <f t="shared" si="13"/>
        <v>緑－緑－緑</v>
      </c>
      <c r="AH9" s="129"/>
    </row>
    <row r="10" spans="1:34" ht="19.5" customHeight="1">
      <c r="A10" s="107"/>
      <c r="B10" s="98">
        <v>17</v>
      </c>
      <c r="C10" s="99">
        <f t="shared" si="0"/>
        <v>7</v>
      </c>
      <c r="D10" s="100" t="s">
        <v>16</v>
      </c>
      <c r="E10" s="101">
        <f t="shared" si="1"/>
        <v>2</v>
      </c>
      <c r="F10" s="100" t="s">
        <v>17</v>
      </c>
      <c r="G10" s="102">
        <v>42918</v>
      </c>
      <c r="H10" s="103" t="s">
        <v>125</v>
      </c>
      <c r="I10" s="104" t="s">
        <v>127</v>
      </c>
      <c r="J10" s="137" t="str">
        <f>$N$62</f>
        <v>BTMU</v>
      </c>
      <c r="K10" s="105">
        <v>1</v>
      </c>
      <c r="L10" s="100" t="s">
        <v>5</v>
      </c>
      <c r="M10" s="106">
        <v>1</v>
      </c>
      <c r="N10" s="124" t="str">
        <f>$N$57</f>
        <v>阪南FC</v>
      </c>
      <c r="O10" s="132" t="s">
        <v>105</v>
      </c>
      <c r="P10" s="131" t="s">
        <v>102</v>
      </c>
      <c r="Q10" s="124" t="s">
        <v>102</v>
      </c>
      <c r="R10" s="165" t="str">
        <f t="shared" si="2"/>
        <v>7/2</v>
      </c>
      <c r="S10" s="165">
        <f t="shared" si="3"/>
        <v>20170702</v>
      </c>
      <c r="T10" s="165">
        <f t="shared" si="4"/>
        <v>17</v>
      </c>
      <c r="U10" s="165">
        <f t="shared" si="5"/>
        <v>0</v>
      </c>
      <c r="V10" s="165">
        <f t="shared" si="6"/>
        <v>0</v>
      </c>
      <c r="W10" s="165">
        <f t="shared" si="7"/>
        <v>0</v>
      </c>
      <c r="X10" s="126" t="str">
        <f t="shared" si="8"/>
        <v>BTMU</v>
      </c>
      <c r="Y10" s="103" t="s">
        <v>133</v>
      </c>
      <c r="Z10" s="103" t="str">
        <f t="shared" si="9"/>
        <v>赤－赤－赤</v>
      </c>
      <c r="AA10" s="103" t="s">
        <v>133</v>
      </c>
      <c r="AB10" s="166" t="str">
        <f t="shared" si="10"/>
        <v>緑－緑－緑</v>
      </c>
      <c r="AC10" s="98" t="str">
        <f t="shared" si="11"/>
        <v>阪南FC</v>
      </c>
      <c r="AD10" s="103" t="s">
        <v>133</v>
      </c>
      <c r="AE10" s="103" t="str">
        <f t="shared" si="12"/>
        <v>青－青－青</v>
      </c>
      <c r="AF10" s="103" t="s">
        <v>133</v>
      </c>
      <c r="AG10" s="166" t="str">
        <f t="shared" si="13"/>
        <v>黄－黄－黄</v>
      </c>
      <c r="AH10" s="128"/>
    </row>
    <row r="11" spans="1:34" ht="19.5" customHeight="1">
      <c r="A11" s="107"/>
      <c r="B11" s="157">
        <v>32</v>
      </c>
      <c r="C11" s="158">
        <f t="shared" si="0"/>
        <v>7</v>
      </c>
      <c r="D11" s="134" t="s">
        <v>16</v>
      </c>
      <c r="E11" s="159">
        <f t="shared" si="1"/>
        <v>2</v>
      </c>
      <c r="F11" s="134" t="s">
        <v>17</v>
      </c>
      <c r="G11" s="160">
        <v>42918</v>
      </c>
      <c r="H11" s="161" t="s">
        <v>125</v>
      </c>
      <c r="I11" s="162" t="s">
        <v>136</v>
      </c>
      <c r="J11" s="139" t="str">
        <f>$N$64</f>
        <v>エルマーノ大阪サッカークラブ</v>
      </c>
      <c r="K11" s="133">
        <v>1</v>
      </c>
      <c r="L11" s="134" t="s">
        <v>5</v>
      </c>
      <c r="M11" s="135">
        <v>5</v>
      </c>
      <c r="N11" s="136" t="str">
        <f>$N$59</f>
        <v>枚方フットボールクラブ</v>
      </c>
      <c r="O11" s="163" t="s">
        <v>99</v>
      </c>
      <c r="P11" s="164" t="s">
        <v>98</v>
      </c>
      <c r="Q11" s="136" t="s">
        <v>98</v>
      </c>
      <c r="R11" s="167" t="str">
        <f t="shared" si="2"/>
        <v>7/2</v>
      </c>
      <c r="S11" s="167">
        <f t="shared" si="3"/>
        <v>20170702</v>
      </c>
      <c r="T11" s="167">
        <f t="shared" si="4"/>
        <v>32</v>
      </c>
      <c r="U11" s="167">
        <f t="shared" si="5"/>
        <v>0</v>
      </c>
      <c r="V11" s="167">
        <f t="shared" si="6"/>
        <v>0</v>
      </c>
      <c r="W11" s="167">
        <f t="shared" si="7"/>
        <v>0</v>
      </c>
      <c r="X11" s="168" t="str">
        <f t="shared" si="8"/>
        <v>エルマーノ大阪サッカークラブ</v>
      </c>
      <c r="Y11" s="161" t="s">
        <v>133</v>
      </c>
      <c r="Z11" s="161" t="str">
        <f t="shared" si="9"/>
        <v>水色－紺－水色</v>
      </c>
      <c r="AA11" s="161" t="s">
        <v>134</v>
      </c>
      <c r="AB11" s="169" t="str">
        <f t="shared" si="10"/>
        <v>赤－黒－赤</v>
      </c>
      <c r="AC11" s="157" t="str">
        <f t="shared" si="11"/>
        <v>枚方フットボールクラブ</v>
      </c>
      <c r="AD11" s="161" t="s">
        <v>133</v>
      </c>
      <c r="AE11" s="161" t="str">
        <f t="shared" si="12"/>
        <v>黄－青－白</v>
      </c>
      <c r="AF11" s="161" t="s">
        <v>133</v>
      </c>
      <c r="AG11" s="169" t="str">
        <f t="shared" si="13"/>
        <v>緑－緑－緑</v>
      </c>
      <c r="AH11" s="129"/>
    </row>
    <row r="12" spans="1:34" ht="19.5" customHeight="1">
      <c r="A12" s="107"/>
      <c r="B12" s="98">
        <v>7</v>
      </c>
      <c r="C12" s="99">
        <f t="shared" si="0"/>
        <v>7</v>
      </c>
      <c r="D12" s="100" t="s">
        <v>16</v>
      </c>
      <c r="E12" s="101">
        <f t="shared" si="1"/>
        <v>16</v>
      </c>
      <c r="F12" s="100" t="s">
        <v>17</v>
      </c>
      <c r="G12" s="102">
        <v>42932</v>
      </c>
      <c r="H12" s="103" t="s">
        <v>145</v>
      </c>
      <c r="I12" s="104" t="s">
        <v>153</v>
      </c>
      <c r="J12" s="137" t="str">
        <f>$N$60</f>
        <v>大阪教員クラブ</v>
      </c>
      <c r="K12" s="105">
        <v>1</v>
      </c>
      <c r="L12" s="100" t="s">
        <v>5</v>
      </c>
      <c r="M12" s="106">
        <v>3</v>
      </c>
      <c r="N12" s="124" t="str">
        <f>$N$56</f>
        <v>大阪ガス株式会社サッカー部</v>
      </c>
      <c r="O12" s="100" t="s">
        <v>100</v>
      </c>
      <c r="P12" s="103" t="s">
        <v>99</v>
      </c>
      <c r="Q12" s="124" t="s">
        <v>100</v>
      </c>
      <c r="R12" s="165" t="str">
        <f t="shared" si="2"/>
        <v>7/16</v>
      </c>
      <c r="S12" s="165">
        <f t="shared" si="3"/>
        <v>20170716</v>
      </c>
      <c r="T12" s="165">
        <f t="shared" si="4"/>
        <v>7</v>
      </c>
      <c r="U12" s="165">
        <f t="shared" si="5"/>
        <v>0</v>
      </c>
      <c r="V12" s="165">
        <f t="shared" si="6"/>
        <v>0</v>
      </c>
      <c r="W12" s="165">
        <f t="shared" si="7"/>
        <v>0</v>
      </c>
      <c r="X12" s="126" t="str">
        <f t="shared" si="8"/>
        <v>大阪教員クラブ</v>
      </c>
      <c r="Y12" s="103" t="s">
        <v>134</v>
      </c>
      <c r="Z12" s="103" t="str">
        <f t="shared" si="9"/>
        <v>白－白－白</v>
      </c>
      <c r="AA12" s="103" t="s">
        <v>133</v>
      </c>
      <c r="AB12" s="166" t="str">
        <f t="shared" si="10"/>
        <v>ピンク－黒－黒</v>
      </c>
      <c r="AC12" s="98" t="str">
        <f t="shared" si="11"/>
        <v>大阪ガス株式会社サッカー部</v>
      </c>
      <c r="AD12" s="103" t="s">
        <v>133</v>
      </c>
      <c r="AE12" s="103" t="str">
        <f t="shared" si="12"/>
        <v>青－青－青</v>
      </c>
      <c r="AF12" s="103" t="s">
        <v>133</v>
      </c>
      <c r="AG12" s="166" t="str">
        <f t="shared" si="13"/>
        <v>黄－黄－黄</v>
      </c>
      <c r="AH12" s="128"/>
    </row>
    <row r="13" spans="1:34" ht="19.5" customHeight="1">
      <c r="A13" s="107"/>
      <c r="B13" s="157">
        <v>28</v>
      </c>
      <c r="C13" s="158">
        <f t="shared" si="0"/>
        <v>7</v>
      </c>
      <c r="D13" s="134" t="s">
        <v>16</v>
      </c>
      <c r="E13" s="159">
        <f t="shared" si="1"/>
        <v>16</v>
      </c>
      <c r="F13" s="134" t="s">
        <v>17</v>
      </c>
      <c r="G13" s="160">
        <v>42932</v>
      </c>
      <c r="H13" s="161" t="s">
        <v>145</v>
      </c>
      <c r="I13" s="162" t="s">
        <v>154</v>
      </c>
      <c r="J13" s="139" t="str">
        <f>$N$63</f>
        <v>OKFC2011</v>
      </c>
      <c r="K13" s="133">
        <v>0</v>
      </c>
      <c r="L13" s="134" t="s">
        <v>5</v>
      </c>
      <c r="M13" s="135">
        <v>3</v>
      </c>
      <c r="N13" s="136" t="str">
        <f>$N$62</f>
        <v>BTMU</v>
      </c>
      <c r="O13" s="163" t="s">
        <v>68</v>
      </c>
      <c r="P13" s="164" t="s">
        <v>103</v>
      </c>
      <c r="Q13" s="136" t="s">
        <v>68</v>
      </c>
      <c r="R13" s="167" t="str">
        <f t="shared" si="2"/>
        <v>7/16</v>
      </c>
      <c r="S13" s="167">
        <f t="shared" si="3"/>
        <v>20170716</v>
      </c>
      <c r="T13" s="167">
        <f t="shared" si="4"/>
        <v>28</v>
      </c>
      <c r="U13" s="167">
        <f t="shared" si="5"/>
        <v>0</v>
      </c>
      <c r="V13" s="167">
        <f t="shared" si="6"/>
        <v>0</v>
      </c>
      <c r="W13" s="167">
        <f t="shared" si="7"/>
        <v>0</v>
      </c>
      <c r="X13" s="168" t="str">
        <f t="shared" si="8"/>
        <v>OKFC2011</v>
      </c>
      <c r="Y13" s="161" t="s">
        <v>133</v>
      </c>
      <c r="Z13" s="161" t="str">
        <f t="shared" si="9"/>
        <v>赤青縦縞－青－赤</v>
      </c>
      <c r="AA13" s="161" t="s">
        <v>133</v>
      </c>
      <c r="AB13" s="169" t="str">
        <f t="shared" si="10"/>
        <v>黄－黄－黄</v>
      </c>
      <c r="AC13" s="157" t="str">
        <f t="shared" si="11"/>
        <v>BTMU</v>
      </c>
      <c r="AD13" s="161" t="s">
        <v>134</v>
      </c>
      <c r="AE13" s="161" t="str">
        <f t="shared" si="12"/>
        <v>白－白－白</v>
      </c>
      <c r="AF13" s="161" t="s">
        <v>133</v>
      </c>
      <c r="AG13" s="169" t="str">
        <f t="shared" si="13"/>
        <v>緑－緑－緑</v>
      </c>
      <c r="AH13" s="129"/>
    </row>
    <row r="14" spans="1:34" ht="19.5" customHeight="1">
      <c r="A14" s="107"/>
      <c r="B14" s="98">
        <v>9</v>
      </c>
      <c r="C14" s="99">
        <f t="shared" si="0"/>
        <v>7</v>
      </c>
      <c r="D14" s="100" t="s">
        <v>149</v>
      </c>
      <c r="E14" s="101">
        <f t="shared" si="1"/>
        <v>23</v>
      </c>
      <c r="F14" s="100" t="s">
        <v>148</v>
      </c>
      <c r="G14" s="102">
        <v>42939</v>
      </c>
      <c r="H14" s="103" t="s">
        <v>130</v>
      </c>
      <c r="I14" s="104" t="s">
        <v>128</v>
      </c>
      <c r="J14" s="137" t="str">
        <f>$N$60</f>
        <v>大阪教員クラブ</v>
      </c>
      <c r="K14" s="105">
        <v>4</v>
      </c>
      <c r="L14" s="100" t="s">
        <v>5</v>
      </c>
      <c r="M14" s="106">
        <v>0</v>
      </c>
      <c r="N14" s="124" t="str">
        <f>$N$58</f>
        <v>パナソニックES社サッカー部</v>
      </c>
      <c r="O14" s="132" t="s">
        <v>166</v>
      </c>
      <c r="P14" s="131" t="s">
        <v>102</v>
      </c>
      <c r="Q14" s="124" t="s">
        <v>166</v>
      </c>
      <c r="R14" s="165" t="str">
        <f t="shared" si="2"/>
        <v>7/23</v>
      </c>
      <c r="S14" s="165">
        <f t="shared" si="3"/>
        <v>20170723</v>
      </c>
      <c r="T14" s="165">
        <f t="shared" si="4"/>
        <v>9</v>
      </c>
      <c r="U14" s="165">
        <f t="shared" si="5"/>
        <v>0</v>
      </c>
      <c r="V14" s="165">
        <f t="shared" si="6"/>
        <v>0</v>
      </c>
      <c r="W14" s="165">
        <f t="shared" si="7"/>
        <v>0</v>
      </c>
      <c r="X14" s="126" t="str">
        <f t="shared" si="8"/>
        <v>大阪教員クラブ</v>
      </c>
      <c r="Y14" s="103" t="s">
        <v>134</v>
      </c>
      <c r="Z14" s="103" t="str">
        <f t="shared" si="9"/>
        <v>白－白－白</v>
      </c>
      <c r="AA14" s="103" t="s">
        <v>134</v>
      </c>
      <c r="AB14" s="166" t="str">
        <f t="shared" si="10"/>
        <v>黄－黒－黒</v>
      </c>
      <c r="AC14" s="98" t="str">
        <f t="shared" si="11"/>
        <v>パナソニックES社サッカー部</v>
      </c>
      <c r="AD14" s="103" t="s">
        <v>133</v>
      </c>
      <c r="AE14" s="103" t="str">
        <f t="shared" si="12"/>
        <v>青－青－青</v>
      </c>
      <c r="AF14" s="103" t="s">
        <v>133</v>
      </c>
      <c r="AG14" s="166" t="str">
        <f t="shared" si="13"/>
        <v>ピンク－ピンク－ピンク</v>
      </c>
      <c r="AH14" s="128"/>
    </row>
    <row r="15" spans="1:34" ht="19.5" customHeight="1">
      <c r="A15" s="107"/>
      <c r="B15" s="108">
        <v>40</v>
      </c>
      <c r="C15" s="109">
        <f t="shared" si="0"/>
        <v>7</v>
      </c>
      <c r="D15" s="110" t="s">
        <v>16</v>
      </c>
      <c r="E15" s="111">
        <f t="shared" si="1"/>
        <v>23</v>
      </c>
      <c r="F15" s="110" t="s">
        <v>17</v>
      </c>
      <c r="G15" s="112">
        <v>42939</v>
      </c>
      <c r="H15" s="113" t="s">
        <v>130</v>
      </c>
      <c r="I15" s="114" t="s">
        <v>126</v>
      </c>
      <c r="J15" s="138" t="str">
        <f>$N$65</f>
        <v>FCボニート</v>
      </c>
      <c r="K15" s="225">
        <v>0</v>
      </c>
      <c r="L15" s="110" t="s">
        <v>5</v>
      </c>
      <c r="M15" s="226">
        <v>4</v>
      </c>
      <c r="N15" s="92" t="str">
        <f>$N$59</f>
        <v>枚方フットボールクラブ</v>
      </c>
      <c r="O15" s="313" t="s">
        <v>68</v>
      </c>
      <c r="P15" s="115" t="s">
        <v>104</v>
      </c>
      <c r="Q15" s="92" t="s">
        <v>137</v>
      </c>
      <c r="R15" s="170" t="str">
        <f t="shared" si="2"/>
        <v>7/23</v>
      </c>
      <c r="S15" s="170">
        <f t="shared" si="3"/>
        <v>20170723</v>
      </c>
      <c r="T15" s="170">
        <f t="shared" si="4"/>
        <v>40</v>
      </c>
      <c r="U15" s="170">
        <f t="shared" si="5"/>
        <v>0</v>
      </c>
      <c r="V15" s="170">
        <f t="shared" si="6"/>
        <v>0</v>
      </c>
      <c r="W15" s="170">
        <f t="shared" si="7"/>
        <v>0</v>
      </c>
      <c r="X15" s="235" t="str">
        <f t="shared" si="8"/>
        <v>FCボニート</v>
      </c>
      <c r="Y15" s="113" t="s">
        <v>134</v>
      </c>
      <c r="Z15" s="113" t="str">
        <f t="shared" si="9"/>
        <v>ピンク－紺－ピンク</v>
      </c>
      <c r="AA15" s="113" t="s">
        <v>133</v>
      </c>
      <c r="AB15" s="236" t="str">
        <f t="shared" si="10"/>
        <v>紺－紺－紺</v>
      </c>
      <c r="AC15" s="108" t="str">
        <f t="shared" si="11"/>
        <v>枚方フットボールクラブ</v>
      </c>
      <c r="AD15" s="113" t="s">
        <v>133</v>
      </c>
      <c r="AE15" s="113" t="str">
        <f t="shared" si="12"/>
        <v>黄－青－白</v>
      </c>
      <c r="AF15" s="113" t="s">
        <v>133</v>
      </c>
      <c r="AG15" s="236" t="str">
        <f t="shared" si="13"/>
        <v>緑－緑－緑</v>
      </c>
      <c r="AH15" s="237"/>
    </row>
    <row r="16" spans="1:34" ht="19.5" customHeight="1">
      <c r="A16" s="107"/>
      <c r="B16" s="98">
        <v>38</v>
      </c>
      <c r="C16" s="99">
        <f t="shared" si="0"/>
        <v>7</v>
      </c>
      <c r="D16" s="100" t="s">
        <v>16</v>
      </c>
      <c r="E16" s="101">
        <f t="shared" si="1"/>
        <v>30</v>
      </c>
      <c r="F16" s="100" t="s">
        <v>17</v>
      </c>
      <c r="G16" s="102">
        <v>42946</v>
      </c>
      <c r="H16" s="103" t="s">
        <v>135</v>
      </c>
      <c r="I16" s="104" t="s">
        <v>142</v>
      </c>
      <c r="J16" s="137" t="str">
        <f>$N$65</f>
        <v>FCボニート</v>
      </c>
      <c r="K16" s="105">
        <v>0</v>
      </c>
      <c r="L16" s="100" t="s">
        <v>5</v>
      </c>
      <c r="M16" s="106">
        <v>5</v>
      </c>
      <c r="N16" s="124" t="str">
        <f>$N$57</f>
        <v>阪南FC</v>
      </c>
      <c r="O16" s="132" t="s">
        <v>100</v>
      </c>
      <c r="P16" s="131" t="s">
        <v>167</v>
      </c>
      <c r="Q16" s="124" t="s">
        <v>103</v>
      </c>
      <c r="R16" s="165" t="str">
        <f t="shared" si="2"/>
        <v>7/30</v>
      </c>
      <c r="S16" s="165">
        <f t="shared" si="3"/>
        <v>20170730</v>
      </c>
      <c r="T16" s="165">
        <f t="shared" si="4"/>
        <v>38</v>
      </c>
      <c r="U16" s="165">
        <f t="shared" si="5"/>
        <v>0</v>
      </c>
      <c r="V16" s="165">
        <f t="shared" si="6"/>
        <v>0</v>
      </c>
      <c r="W16" s="165">
        <f t="shared" si="7"/>
        <v>0</v>
      </c>
      <c r="X16" s="126" t="str">
        <f t="shared" si="8"/>
        <v>FCボニート</v>
      </c>
      <c r="Y16" s="103" t="s">
        <v>134</v>
      </c>
      <c r="Z16" s="103" t="str">
        <f t="shared" si="9"/>
        <v>ピンク－紺－ピンク</v>
      </c>
      <c r="AA16" s="103" t="s">
        <v>134</v>
      </c>
      <c r="AB16" s="166" t="str">
        <f t="shared" si="10"/>
        <v>水色－灰－紺</v>
      </c>
      <c r="AC16" s="98" t="str">
        <f t="shared" si="11"/>
        <v>阪南FC</v>
      </c>
      <c r="AD16" s="103" t="s">
        <v>134</v>
      </c>
      <c r="AE16" s="103" t="str">
        <f t="shared" si="12"/>
        <v>白－白－白</v>
      </c>
      <c r="AF16" s="103" t="s">
        <v>133</v>
      </c>
      <c r="AG16" s="166" t="str">
        <f t="shared" si="13"/>
        <v>黄－黄－黄</v>
      </c>
      <c r="AH16" s="128"/>
    </row>
    <row r="17" spans="1:34" ht="19.5" customHeight="1">
      <c r="A17" s="107"/>
      <c r="B17" s="108">
        <v>22</v>
      </c>
      <c r="C17" s="109">
        <f t="shared" si="0"/>
        <v>7</v>
      </c>
      <c r="D17" s="110" t="s">
        <v>187</v>
      </c>
      <c r="E17" s="111">
        <f t="shared" si="1"/>
        <v>30</v>
      </c>
      <c r="F17" s="110" t="s">
        <v>188</v>
      </c>
      <c r="G17" s="112">
        <v>42946</v>
      </c>
      <c r="H17" s="113" t="s">
        <v>135</v>
      </c>
      <c r="I17" s="114" t="s">
        <v>189</v>
      </c>
      <c r="J17" s="138" t="str">
        <f>$N$63</f>
        <v>OKFC2011</v>
      </c>
      <c r="K17" s="225">
        <v>0</v>
      </c>
      <c r="L17" s="110" t="s">
        <v>5</v>
      </c>
      <c r="M17" s="226">
        <v>3</v>
      </c>
      <c r="N17" s="92" t="str">
        <f>$N$56</f>
        <v>大阪ガス株式会社サッカー部</v>
      </c>
      <c r="O17" s="313" t="s">
        <v>141</v>
      </c>
      <c r="P17" s="115" t="s">
        <v>98</v>
      </c>
      <c r="Q17" s="92" t="s">
        <v>190</v>
      </c>
      <c r="R17" s="170" t="str">
        <f t="shared" si="2"/>
        <v>7/30</v>
      </c>
      <c r="S17" s="170">
        <f t="shared" si="3"/>
        <v>20170730</v>
      </c>
      <c r="T17" s="170">
        <f t="shared" si="4"/>
        <v>22</v>
      </c>
      <c r="U17" s="170">
        <f t="shared" si="5"/>
        <v>0</v>
      </c>
      <c r="V17" s="170">
        <f t="shared" si="6"/>
        <v>0</v>
      </c>
      <c r="W17" s="170">
        <f t="shared" si="7"/>
        <v>0</v>
      </c>
      <c r="X17" s="235" t="str">
        <f t="shared" si="8"/>
        <v>OKFC2011</v>
      </c>
      <c r="Y17" s="113" t="s">
        <v>133</v>
      </c>
      <c r="Z17" s="113" t="str">
        <f t="shared" si="9"/>
        <v>赤青縦縞－青－赤</v>
      </c>
      <c r="AA17" s="113" t="s">
        <v>133</v>
      </c>
      <c r="AB17" s="236" t="str">
        <f t="shared" si="10"/>
        <v>黄－黄－黄</v>
      </c>
      <c r="AC17" s="108" t="str">
        <f t="shared" si="11"/>
        <v>大阪ガス株式会社サッカー部</v>
      </c>
      <c r="AD17" s="113" t="s">
        <v>134</v>
      </c>
      <c r="AE17" s="113" t="str">
        <f t="shared" si="12"/>
        <v>白－白－白</v>
      </c>
      <c r="AF17" s="113" t="s">
        <v>133</v>
      </c>
      <c r="AG17" s="236" t="str">
        <f t="shared" si="13"/>
        <v>黄－黄－黄</v>
      </c>
      <c r="AH17" s="237"/>
    </row>
    <row r="18" spans="1:34" ht="19.5" customHeight="1">
      <c r="A18" s="107"/>
      <c r="B18" s="140">
        <v>18</v>
      </c>
      <c r="C18" s="141">
        <f t="shared" si="0"/>
        <v>7</v>
      </c>
      <c r="D18" s="142" t="s">
        <v>187</v>
      </c>
      <c r="E18" s="143">
        <f t="shared" si="1"/>
        <v>30</v>
      </c>
      <c r="F18" s="142" t="s">
        <v>188</v>
      </c>
      <c r="G18" s="144">
        <v>42946</v>
      </c>
      <c r="H18" s="145" t="s">
        <v>135</v>
      </c>
      <c r="I18" s="146" t="s">
        <v>191</v>
      </c>
      <c r="J18" s="147" t="str">
        <f>$N$62</f>
        <v>BTMU</v>
      </c>
      <c r="K18" s="148">
        <v>1</v>
      </c>
      <c r="L18" s="142" t="s">
        <v>5</v>
      </c>
      <c r="M18" s="149">
        <v>2</v>
      </c>
      <c r="N18" s="150" t="str">
        <f>$N$58</f>
        <v>パナソニックES社サッカー部</v>
      </c>
      <c r="O18" s="151" t="s">
        <v>105</v>
      </c>
      <c r="P18" s="152" t="s">
        <v>137</v>
      </c>
      <c r="Q18" s="150" t="s">
        <v>105</v>
      </c>
      <c r="R18" s="156" t="str">
        <f t="shared" si="2"/>
        <v>7/30</v>
      </c>
      <c r="S18" s="156">
        <f t="shared" si="3"/>
        <v>20170730</v>
      </c>
      <c r="T18" s="156">
        <f t="shared" si="4"/>
        <v>18</v>
      </c>
      <c r="U18" s="156">
        <f t="shared" si="5"/>
        <v>0</v>
      </c>
      <c r="V18" s="156">
        <f t="shared" si="6"/>
        <v>0</v>
      </c>
      <c r="W18" s="156">
        <f t="shared" si="7"/>
        <v>0</v>
      </c>
      <c r="X18" s="153" t="str">
        <f t="shared" si="8"/>
        <v>BTMU</v>
      </c>
      <c r="Y18" s="145" t="s">
        <v>133</v>
      </c>
      <c r="Z18" s="145" t="str">
        <f t="shared" si="9"/>
        <v>赤－赤－赤</v>
      </c>
      <c r="AA18" s="145" t="s">
        <v>133</v>
      </c>
      <c r="AB18" s="154" t="str">
        <f t="shared" si="10"/>
        <v>緑－緑－緑</v>
      </c>
      <c r="AC18" s="140" t="str">
        <f t="shared" si="11"/>
        <v>パナソニックES社サッカー部</v>
      </c>
      <c r="AD18" s="145" t="s">
        <v>133</v>
      </c>
      <c r="AE18" s="145" t="str">
        <f t="shared" si="12"/>
        <v>青－青－青</v>
      </c>
      <c r="AF18" s="145" t="s">
        <v>134</v>
      </c>
      <c r="AG18" s="154" t="str">
        <f t="shared" si="13"/>
        <v>水色－紺－水色</v>
      </c>
      <c r="AH18" s="155"/>
    </row>
    <row r="19" spans="1:34" ht="19.5" customHeight="1">
      <c r="A19" s="107"/>
      <c r="B19" s="157">
        <v>33</v>
      </c>
      <c r="C19" s="158">
        <f t="shared" si="0"/>
        <v>7</v>
      </c>
      <c r="D19" s="134" t="s">
        <v>53</v>
      </c>
      <c r="E19" s="159">
        <f t="shared" si="1"/>
        <v>30</v>
      </c>
      <c r="F19" s="134" t="s">
        <v>51</v>
      </c>
      <c r="G19" s="160">
        <v>42946</v>
      </c>
      <c r="H19" s="161" t="s">
        <v>135</v>
      </c>
      <c r="I19" s="162" t="s">
        <v>151</v>
      </c>
      <c r="J19" s="139" t="str">
        <f>$N$64</f>
        <v>エルマーノ大阪サッカークラブ</v>
      </c>
      <c r="K19" s="133">
        <v>1</v>
      </c>
      <c r="L19" s="134" t="s">
        <v>5</v>
      </c>
      <c r="M19" s="135">
        <v>6</v>
      </c>
      <c r="N19" s="136" t="str">
        <f>$N$60</f>
        <v>大阪教員クラブ</v>
      </c>
      <c r="O19" s="163" t="s">
        <v>99</v>
      </c>
      <c r="P19" s="164" t="s">
        <v>104</v>
      </c>
      <c r="Q19" s="136" t="s">
        <v>104</v>
      </c>
      <c r="R19" s="167" t="str">
        <f t="shared" si="2"/>
        <v>7/30</v>
      </c>
      <c r="S19" s="167">
        <f t="shared" si="3"/>
        <v>20170730</v>
      </c>
      <c r="T19" s="167">
        <f t="shared" si="4"/>
        <v>33</v>
      </c>
      <c r="U19" s="167">
        <f t="shared" si="5"/>
        <v>0</v>
      </c>
      <c r="V19" s="167">
        <f t="shared" si="6"/>
        <v>0</v>
      </c>
      <c r="W19" s="167">
        <f t="shared" si="7"/>
        <v>0</v>
      </c>
      <c r="X19" s="168" t="str">
        <f t="shared" si="8"/>
        <v>エルマーノ大阪サッカークラブ</v>
      </c>
      <c r="Y19" s="161" t="s">
        <v>133</v>
      </c>
      <c r="Z19" s="161" t="str">
        <f t="shared" si="9"/>
        <v>水色－紺－水色</v>
      </c>
      <c r="AA19" s="161" t="s">
        <v>133</v>
      </c>
      <c r="AB19" s="169" t="str">
        <f t="shared" si="10"/>
        <v>黄－黒－黄</v>
      </c>
      <c r="AC19" s="157" t="str">
        <f t="shared" si="11"/>
        <v>大阪教員クラブ</v>
      </c>
      <c r="AD19" s="161" t="s">
        <v>134</v>
      </c>
      <c r="AE19" s="161" t="str">
        <f t="shared" si="12"/>
        <v>白－白－白</v>
      </c>
      <c r="AF19" s="161" t="s">
        <v>133</v>
      </c>
      <c r="AG19" s="169" t="str">
        <f t="shared" si="13"/>
        <v>ピンク－黒－黒</v>
      </c>
      <c r="AH19" s="129"/>
    </row>
    <row r="20" spans="1:34" ht="19.5" customHeight="1">
      <c r="A20" s="107"/>
      <c r="B20" s="140">
        <v>1</v>
      </c>
      <c r="C20" s="141">
        <f t="shared" si="0"/>
        <v>8</v>
      </c>
      <c r="D20" s="142" t="s">
        <v>14</v>
      </c>
      <c r="E20" s="143">
        <f t="shared" si="1"/>
        <v>6</v>
      </c>
      <c r="F20" s="142" t="s">
        <v>12</v>
      </c>
      <c r="G20" s="144">
        <v>42953</v>
      </c>
      <c r="H20" s="145" t="s">
        <v>150</v>
      </c>
      <c r="I20" s="146" t="s">
        <v>153</v>
      </c>
      <c r="J20" s="147" t="str">
        <f>$N$57</f>
        <v>阪南FC</v>
      </c>
      <c r="K20" s="148">
        <v>2</v>
      </c>
      <c r="L20" s="142" t="s">
        <v>5</v>
      </c>
      <c r="M20" s="149">
        <v>3</v>
      </c>
      <c r="N20" s="150" t="str">
        <f>$N$56</f>
        <v>大阪ガス株式会社サッカー部</v>
      </c>
      <c r="O20" s="151" t="s">
        <v>101</v>
      </c>
      <c r="P20" s="152" t="s">
        <v>158</v>
      </c>
      <c r="Q20" s="150" t="s">
        <v>105</v>
      </c>
      <c r="R20" s="156" t="str">
        <f t="shared" si="2"/>
        <v>8/6</v>
      </c>
      <c r="S20" s="156">
        <f t="shared" si="3"/>
        <v>20170806</v>
      </c>
      <c r="T20" s="156">
        <f t="shared" si="4"/>
        <v>1</v>
      </c>
      <c r="U20" s="156">
        <f t="shared" si="5"/>
        <v>0</v>
      </c>
      <c r="V20" s="156">
        <f t="shared" si="6"/>
        <v>0</v>
      </c>
      <c r="W20" s="156">
        <f t="shared" si="7"/>
        <v>0</v>
      </c>
      <c r="X20" s="153" t="str">
        <f t="shared" si="8"/>
        <v>阪南FC</v>
      </c>
      <c r="Y20" s="145" t="s">
        <v>134</v>
      </c>
      <c r="Z20" s="145" t="str">
        <f t="shared" si="9"/>
        <v>白－白－白</v>
      </c>
      <c r="AA20" s="145" t="s">
        <v>134</v>
      </c>
      <c r="AB20" s="154" t="str">
        <f t="shared" si="10"/>
        <v>緑－黒－黒</v>
      </c>
      <c r="AC20" s="140" t="str">
        <f t="shared" si="11"/>
        <v>大阪ガス株式会社サッカー部</v>
      </c>
      <c r="AD20" s="145" t="s">
        <v>133</v>
      </c>
      <c r="AE20" s="145" t="str">
        <f t="shared" si="12"/>
        <v>青－青－青</v>
      </c>
      <c r="AF20" s="145" t="s">
        <v>133</v>
      </c>
      <c r="AG20" s="154" t="str">
        <f t="shared" si="13"/>
        <v>黄－黄－黄</v>
      </c>
      <c r="AH20" s="155"/>
    </row>
    <row r="21" spans="1:34" ht="19.5" customHeight="1">
      <c r="A21" s="107"/>
      <c r="B21" s="157">
        <v>45</v>
      </c>
      <c r="C21" s="158">
        <f t="shared" si="0"/>
        <v>8</v>
      </c>
      <c r="D21" s="134" t="s">
        <v>149</v>
      </c>
      <c r="E21" s="159">
        <f t="shared" si="1"/>
        <v>6</v>
      </c>
      <c r="F21" s="134" t="s">
        <v>148</v>
      </c>
      <c r="G21" s="160">
        <v>42953</v>
      </c>
      <c r="H21" s="161" t="s">
        <v>145</v>
      </c>
      <c r="I21" s="162" t="s">
        <v>154</v>
      </c>
      <c r="J21" s="139" t="str">
        <f>$N$65</f>
        <v>FCボニート</v>
      </c>
      <c r="K21" s="133">
        <v>3</v>
      </c>
      <c r="L21" s="134" t="s">
        <v>5</v>
      </c>
      <c r="M21" s="135">
        <v>2</v>
      </c>
      <c r="N21" s="136" t="str">
        <f>$N$64</f>
        <v>エルマーノ大阪サッカークラブ</v>
      </c>
      <c r="O21" s="163" t="s">
        <v>159</v>
      </c>
      <c r="P21" s="164" t="s">
        <v>160</v>
      </c>
      <c r="Q21" s="136" t="s">
        <v>98</v>
      </c>
      <c r="R21" s="167" t="str">
        <f t="shared" si="2"/>
        <v>8/6</v>
      </c>
      <c r="S21" s="167">
        <f t="shared" si="3"/>
        <v>20170806</v>
      </c>
      <c r="T21" s="167">
        <f t="shared" si="4"/>
        <v>45</v>
      </c>
      <c r="U21" s="167">
        <f t="shared" si="5"/>
        <v>0</v>
      </c>
      <c r="V21" s="167">
        <f t="shared" si="6"/>
        <v>0</v>
      </c>
      <c r="W21" s="167">
        <f t="shared" si="7"/>
        <v>0</v>
      </c>
      <c r="X21" s="168" t="str">
        <f t="shared" si="8"/>
        <v>FCボニート</v>
      </c>
      <c r="Y21" s="161" t="s">
        <v>133</v>
      </c>
      <c r="Z21" s="161" t="str">
        <f t="shared" si="9"/>
        <v>白－紺－白</v>
      </c>
      <c r="AA21" s="161" t="s">
        <v>133</v>
      </c>
      <c r="AB21" s="169" t="str">
        <f t="shared" si="10"/>
        <v>紺－紺－紺</v>
      </c>
      <c r="AC21" s="157" t="str">
        <f t="shared" si="11"/>
        <v>エルマーノ大阪サッカークラブ</v>
      </c>
      <c r="AD21" s="161" t="s">
        <v>133</v>
      </c>
      <c r="AE21" s="161" t="str">
        <f t="shared" si="12"/>
        <v>水色－紺－水色</v>
      </c>
      <c r="AF21" s="161" t="s">
        <v>133</v>
      </c>
      <c r="AG21" s="169" t="str">
        <f t="shared" si="13"/>
        <v>黄－黒－黄</v>
      </c>
      <c r="AH21" s="129"/>
    </row>
    <row r="22" spans="1:34" ht="19.5" customHeight="1">
      <c r="A22" s="107"/>
      <c r="B22" s="98">
        <v>34</v>
      </c>
      <c r="C22" s="99">
        <f t="shared" si="0"/>
        <v>9</v>
      </c>
      <c r="D22" s="100" t="s">
        <v>16</v>
      </c>
      <c r="E22" s="101">
        <f t="shared" si="1"/>
        <v>3</v>
      </c>
      <c r="F22" s="100" t="s">
        <v>17</v>
      </c>
      <c r="G22" s="102">
        <v>42981</v>
      </c>
      <c r="H22" s="103" t="s">
        <v>124</v>
      </c>
      <c r="I22" s="104" t="s">
        <v>127</v>
      </c>
      <c r="J22" s="137" t="str">
        <f>$N$64</f>
        <v>エルマーノ大阪サッカークラブ</v>
      </c>
      <c r="K22" s="105">
        <v>3</v>
      </c>
      <c r="L22" s="100" t="s">
        <v>5</v>
      </c>
      <c r="M22" s="106">
        <v>0</v>
      </c>
      <c r="N22" s="124" t="str">
        <f>$N$61</f>
        <v>カルシオフットボールクラブ</v>
      </c>
      <c r="O22" s="100" t="s">
        <v>161</v>
      </c>
      <c r="P22" s="103" t="s">
        <v>160</v>
      </c>
      <c r="Q22" s="124" t="s">
        <v>103</v>
      </c>
      <c r="R22" s="165" t="str">
        <f t="shared" si="2"/>
        <v>9/3</v>
      </c>
      <c r="S22" s="165">
        <f t="shared" si="3"/>
        <v>20170903</v>
      </c>
      <c r="T22" s="165">
        <f t="shared" si="4"/>
        <v>34</v>
      </c>
      <c r="U22" s="165">
        <f t="shared" si="5"/>
        <v>0</v>
      </c>
      <c r="V22" s="165">
        <f t="shared" si="6"/>
        <v>0</v>
      </c>
      <c r="W22" s="165">
        <f t="shared" si="7"/>
        <v>0</v>
      </c>
      <c r="X22" s="126" t="str">
        <f t="shared" si="8"/>
        <v>エルマーノ大阪サッカークラブ</v>
      </c>
      <c r="Y22" s="131" t="s">
        <v>134</v>
      </c>
      <c r="Z22" s="103" t="str">
        <f t="shared" si="9"/>
        <v>白－白－白</v>
      </c>
      <c r="AA22" s="131" t="s">
        <v>134</v>
      </c>
      <c r="AB22" s="166" t="str">
        <f t="shared" si="10"/>
        <v>赤－黒－赤</v>
      </c>
      <c r="AC22" s="98" t="str">
        <f t="shared" si="11"/>
        <v>カルシオフットボールクラブ</v>
      </c>
      <c r="AD22" s="131" t="s">
        <v>133</v>
      </c>
      <c r="AE22" s="103" t="str">
        <f t="shared" si="12"/>
        <v>青－青－青</v>
      </c>
      <c r="AF22" s="131" t="s">
        <v>133</v>
      </c>
      <c r="AG22" s="166" t="str">
        <f t="shared" si="13"/>
        <v>黄－黒－黄</v>
      </c>
      <c r="AH22" s="128"/>
    </row>
    <row r="23" spans="1:34" ht="19.5" customHeight="1">
      <c r="A23" s="107"/>
      <c r="B23" s="157">
        <v>4</v>
      </c>
      <c r="C23" s="158">
        <f t="shared" si="0"/>
        <v>9</v>
      </c>
      <c r="D23" s="134" t="s">
        <v>16</v>
      </c>
      <c r="E23" s="159">
        <f t="shared" si="1"/>
        <v>3</v>
      </c>
      <c r="F23" s="134" t="s">
        <v>17</v>
      </c>
      <c r="G23" s="160">
        <v>42981</v>
      </c>
      <c r="H23" s="161" t="s">
        <v>124</v>
      </c>
      <c r="I23" s="162" t="s">
        <v>156</v>
      </c>
      <c r="J23" s="139" t="str">
        <f>$N$59</f>
        <v>枚方フットボールクラブ</v>
      </c>
      <c r="K23" s="133">
        <v>1</v>
      </c>
      <c r="L23" s="134" t="s">
        <v>5</v>
      </c>
      <c r="M23" s="135">
        <v>1</v>
      </c>
      <c r="N23" s="136" t="str">
        <f>$N$56</f>
        <v>大阪ガス株式会社サッカー部</v>
      </c>
      <c r="O23" s="163" t="s">
        <v>158</v>
      </c>
      <c r="P23" s="164" t="s">
        <v>79</v>
      </c>
      <c r="Q23" s="136" t="s">
        <v>105</v>
      </c>
      <c r="R23" s="167" t="str">
        <f t="shared" si="2"/>
        <v>9/3</v>
      </c>
      <c r="S23" s="167">
        <f t="shared" si="3"/>
        <v>20170903</v>
      </c>
      <c r="T23" s="167">
        <f t="shared" si="4"/>
        <v>4</v>
      </c>
      <c r="U23" s="167">
        <f t="shared" si="5"/>
        <v>0</v>
      </c>
      <c r="V23" s="167">
        <f t="shared" si="6"/>
        <v>0</v>
      </c>
      <c r="W23" s="167">
        <f t="shared" si="7"/>
        <v>0</v>
      </c>
      <c r="X23" s="168" t="str">
        <f t="shared" si="8"/>
        <v>枚方フットボールクラブ</v>
      </c>
      <c r="Y23" s="161" t="s">
        <v>134</v>
      </c>
      <c r="Z23" s="161" t="str">
        <f t="shared" si="9"/>
        <v>赤－白－赤</v>
      </c>
      <c r="AA23" s="161" t="s">
        <v>133</v>
      </c>
      <c r="AB23" s="169" t="str">
        <f t="shared" si="10"/>
        <v>緑－緑－緑</v>
      </c>
      <c r="AC23" s="157" t="str">
        <f t="shared" si="11"/>
        <v>大阪ガス株式会社サッカー部</v>
      </c>
      <c r="AD23" s="161" t="s">
        <v>133</v>
      </c>
      <c r="AE23" s="161" t="str">
        <f t="shared" si="12"/>
        <v>青－青－青</v>
      </c>
      <c r="AF23" s="161" t="s">
        <v>133</v>
      </c>
      <c r="AG23" s="169" t="str">
        <f t="shared" si="13"/>
        <v>黄－黄－黄</v>
      </c>
      <c r="AH23" s="129"/>
    </row>
    <row r="24" spans="1:34" ht="19.5" customHeight="1">
      <c r="A24" s="107"/>
      <c r="B24" s="98">
        <v>21</v>
      </c>
      <c r="C24" s="99">
        <f t="shared" si="0"/>
        <v>9</v>
      </c>
      <c r="D24" s="100" t="s">
        <v>16</v>
      </c>
      <c r="E24" s="101">
        <f t="shared" si="1"/>
        <v>10</v>
      </c>
      <c r="F24" s="100" t="s">
        <v>17</v>
      </c>
      <c r="G24" s="102">
        <v>42988</v>
      </c>
      <c r="H24" s="103" t="s">
        <v>124</v>
      </c>
      <c r="I24" s="104" t="s">
        <v>128</v>
      </c>
      <c r="J24" s="137" t="str">
        <f>$N$62</f>
        <v>BTMU</v>
      </c>
      <c r="K24" s="105">
        <v>3</v>
      </c>
      <c r="L24" s="100" t="s">
        <v>5</v>
      </c>
      <c r="M24" s="106">
        <v>0</v>
      </c>
      <c r="N24" s="124" t="str">
        <f>$N$61</f>
        <v>カルシオフットボールクラブ</v>
      </c>
      <c r="O24" s="132" t="s">
        <v>101</v>
      </c>
      <c r="P24" s="131" t="s">
        <v>162</v>
      </c>
      <c r="Q24" s="124" t="s">
        <v>101</v>
      </c>
      <c r="R24" s="165" t="str">
        <f t="shared" si="2"/>
        <v>9/10</v>
      </c>
      <c r="S24" s="165">
        <f t="shared" si="3"/>
        <v>20170910</v>
      </c>
      <c r="T24" s="165">
        <f t="shared" si="4"/>
        <v>21</v>
      </c>
      <c r="U24" s="165">
        <f t="shared" si="5"/>
        <v>0</v>
      </c>
      <c r="V24" s="165">
        <f t="shared" si="6"/>
        <v>0</v>
      </c>
      <c r="W24" s="165">
        <f t="shared" si="7"/>
        <v>0</v>
      </c>
      <c r="X24" s="126" t="str">
        <f t="shared" si="8"/>
        <v>BTMU</v>
      </c>
      <c r="Y24" s="103" t="s">
        <v>133</v>
      </c>
      <c r="Z24" s="103" t="str">
        <f t="shared" si="9"/>
        <v>赤－赤－赤</v>
      </c>
      <c r="AA24" s="103" t="s">
        <v>133</v>
      </c>
      <c r="AB24" s="166" t="str">
        <f t="shared" si="10"/>
        <v>緑－緑－緑</v>
      </c>
      <c r="AC24" s="98" t="str">
        <f t="shared" si="11"/>
        <v>カルシオフットボールクラブ</v>
      </c>
      <c r="AD24" s="103" t="s">
        <v>133</v>
      </c>
      <c r="AE24" s="103" t="str">
        <f t="shared" si="12"/>
        <v>青－青－青</v>
      </c>
      <c r="AF24" s="103" t="s">
        <v>133</v>
      </c>
      <c r="AG24" s="166" t="str">
        <f t="shared" si="13"/>
        <v>黄－黒－黄</v>
      </c>
      <c r="AH24" s="128"/>
    </row>
    <row r="25" spans="1:34" ht="19.5" customHeight="1">
      <c r="A25" s="107"/>
      <c r="B25" s="157">
        <v>39</v>
      </c>
      <c r="C25" s="158">
        <f t="shared" si="0"/>
        <v>9</v>
      </c>
      <c r="D25" s="134" t="s">
        <v>16</v>
      </c>
      <c r="E25" s="159">
        <f t="shared" si="1"/>
        <v>10</v>
      </c>
      <c r="F25" s="134" t="s">
        <v>17</v>
      </c>
      <c r="G25" s="160">
        <v>42988</v>
      </c>
      <c r="H25" s="161" t="s">
        <v>124</v>
      </c>
      <c r="I25" s="162" t="s">
        <v>139</v>
      </c>
      <c r="J25" s="139" t="str">
        <f>$N$65</f>
        <v>FCボニート</v>
      </c>
      <c r="K25" s="133">
        <v>5</v>
      </c>
      <c r="L25" s="134" t="s">
        <v>5</v>
      </c>
      <c r="M25" s="135">
        <v>3</v>
      </c>
      <c r="N25" s="136" t="str">
        <f>$N$58</f>
        <v>パナソニックES社サッカー部</v>
      </c>
      <c r="O25" s="163" t="s">
        <v>99</v>
      </c>
      <c r="P25" s="164" t="s">
        <v>79</v>
      </c>
      <c r="Q25" s="136" t="s">
        <v>99</v>
      </c>
      <c r="R25" s="167" t="str">
        <f t="shared" si="2"/>
        <v>9/10</v>
      </c>
      <c r="S25" s="167">
        <f t="shared" si="3"/>
        <v>20170910</v>
      </c>
      <c r="T25" s="167">
        <f t="shared" si="4"/>
        <v>39</v>
      </c>
      <c r="U25" s="167">
        <f t="shared" si="5"/>
        <v>0</v>
      </c>
      <c r="V25" s="167">
        <f t="shared" si="6"/>
        <v>0</v>
      </c>
      <c r="W25" s="167">
        <f t="shared" si="7"/>
        <v>0</v>
      </c>
      <c r="X25" s="168" t="str">
        <f t="shared" si="8"/>
        <v>FCボニート</v>
      </c>
      <c r="Y25" s="161" t="s">
        <v>134</v>
      </c>
      <c r="Z25" s="161" t="str">
        <f t="shared" si="9"/>
        <v>ピンク－紺－ピンク</v>
      </c>
      <c r="AA25" s="161" t="s">
        <v>133</v>
      </c>
      <c r="AB25" s="169" t="str">
        <f t="shared" si="10"/>
        <v>紺－紺－紺</v>
      </c>
      <c r="AC25" s="157" t="str">
        <f t="shared" si="11"/>
        <v>パナソニックES社サッカー部</v>
      </c>
      <c r="AD25" s="161" t="s">
        <v>134</v>
      </c>
      <c r="AE25" s="161" t="str">
        <f t="shared" si="12"/>
        <v>白－白－白</v>
      </c>
      <c r="AF25" s="161" t="s">
        <v>134</v>
      </c>
      <c r="AG25" s="169" t="str">
        <f t="shared" si="13"/>
        <v>水色－紺－水色</v>
      </c>
      <c r="AH25" s="129"/>
    </row>
    <row r="26" spans="1:34" ht="19.5" customHeight="1">
      <c r="A26" s="107"/>
      <c r="B26" s="98">
        <v>12</v>
      </c>
      <c r="C26" s="99">
        <f t="shared" si="0"/>
        <v>9</v>
      </c>
      <c r="D26" s="100" t="s">
        <v>16</v>
      </c>
      <c r="E26" s="101">
        <f t="shared" si="1"/>
        <v>24</v>
      </c>
      <c r="F26" s="100" t="s">
        <v>17</v>
      </c>
      <c r="G26" s="102">
        <v>43002</v>
      </c>
      <c r="H26" s="103" t="s">
        <v>124</v>
      </c>
      <c r="I26" s="104" t="s">
        <v>128</v>
      </c>
      <c r="J26" s="137" t="str">
        <f>$N$61</f>
        <v>カルシオフットボールクラブ</v>
      </c>
      <c r="K26" s="105">
        <v>0</v>
      </c>
      <c r="L26" s="100" t="s">
        <v>5</v>
      </c>
      <c r="M26" s="106">
        <v>4</v>
      </c>
      <c r="N26" s="124" t="str">
        <f>$N$57</f>
        <v>阪南FC</v>
      </c>
      <c r="O26" s="132" t="s">
        <v>100</v>
      </c>
      <c r="P26" s="131" t="s">
        <v>162</v>
      </c>
      <c r="Q26" s="239" t="s">
        <v>100</v>
      </c>
      <c r="R26" s="165" t="str">
        <f t="shared" si="2"/>
        <v>9/24</v>
      </c>
      <c r="S26" s="165">
        <f t="shared" si="3"/>
        <v>20170924</v>
      </c>
      <c r="T26" s="165">
        <f t="shared" si="4"/>
        <v>12</v>
      </c>
      <c r="U26" s="165">
        <f t="shared" si="5"/>
        <v>0</v>
      </c>
      <c r="V26" s="165">
        <f t="shared" si="6"/>
        <v>0</v>
      </c>
      <c r="W26" s="165">
        <f t="shared" si="7"/>
        <v>0</v>
      </c>
      <c r="X26" s="240" t="str">
        <f t="shared" si="8"/>
        <v>カルシオフットボールクラブ</v>
      </c>
      <c r="Y26" s="131" t="s">
        <v>133</v>
      </c>
      <c r="Z26" s="131" t="str">
        <f t="shared" si="9"/>
        <v>青－青－青</v>
      </c>
      <c r="AA26" s="131" t="s">
        <v>133</v>
      </c>
      <c r="AB26" s="241" t="str">
        <f t="shared" si="10"/>
        <v>黄－黒－黄</v>
      </c>
      <c r="AC26" s="242" t="str">
        <f t="shared" si="11"/>
        <v>阪南FC</v>
      </c>
      <c r="AD26" s="131" t="s">
        <v>134</v>
      </c>
      <c r="AE26" s="131" t="str">
        <f t="shared" si="12"/>
        <v>白－白－白</v>
      </c>
      <c r="AF26" s="131" t="s">
        <v>134</v>
      </c>
      <c r="AG26" s="241" t="str">
        <f t="shared" si="13"/>
        <v>緑－黒－黒</v>
      </c>
      <c r="AH26" s="243"/>
    </row>
    <row r="27" spans="1:34" ht="19.5" customHeight="1">
      <c r="A27" s="107"/>
      <c r="B27" s="116">
        <v>24</v>
      </c>
      <c r="C27" s="117">
        <f t="shared" si="0"/>
        <v>9</v>
      </c>
      <c r="D27" s="118" t="s">
        <v>16</v>
      </c>
      <c r="E27" s="119">
        <f t="shared" si="1"/>
        <v>24</v>
      </c>
      <c r="F27" s="118" t="s">
        <v>17</v>
      </c>
      <c r="G27" s="120">
        <v>43002</v>
      </c>
      <c r="H27" s="121" t="s">
        <v>124</v>
      </c>
      <c r="I27" s="162" t="s">
        <v>139</v>
      </c>
      <c r="J27" s="174" t="str">
        <f>$N$63</f>
        <v>OKFC2011</v>
      </c>
      <c r="K27" s="223">
        <v>2</v>
      </c>
      <c r="L27" s="118" t="s">
        <v>5</v>
      </c>
      <c r="M27" s="224">
        <v>2</v>
      </c>
      <c r="N27" s="122" t="str">
        <f>$N$58</f>
        <v>パナソニックES社サッカー部</v>
      </c>
      <c r="O27" s="233" t="s">
        <v>79</v>
      </c>
      <c r="P27" s="234" t="s">
        <v>159</v>
      </c>
      <c r="Q27" s="122" t="s">
        <v>138</v>
      </c>
      <c r="R27" s="156" t="str">
        <f t="shared" si="2"/>
        <v>9/24</v>
      </c>
      <c r="S27" s="156">
        <f t="shared" si="3"/>
        <v>20170924</v>
      </c>
      <c r="T27" s="156">
        <f t="shared" si="4"/>
        <v>24</v>
      </c>
      <c r="U27" s="156">
        <f t="shared" si="5"/>
        <v>0</v>
      </c>
      <c r="V27" s="156">
        <f t="shared" si="6"/>
        <v>0</v>
      </c>
      <c r="W27" s="156">
        <f t="shared" si="7"/>
        <v>0</v>
      </c>
      <c r="X27" s="230" t="str">
        <f t="shared" si="8"/>
        <v>OKFC2011</v>
      </c>
      <c r="Y27" s="121" t="s">
        <v>133</v>
      </c>
      <c r="Z27" s="121" t="str">
        <f t="shared" si="9"/>
        <v>赤青縦縞－青－赤</v>
      </c>
      <c r="AA27" s="121" t="s">
        <v>133</v>
      </c>
      <c r="AB27" s="231" t="str">
        <f t="shared" si="10"/>
        <v>黄－黄－黄</v>
      </c>
      <c r="AC27" s="116" t="str">
        <f t="shared" si="11"/>
        <v>パナソニックES社サッカー部</v>
      </c>
      <c r="AD27" s="121" t="s">
        <v>134</v>
      </c>
      <c r="AE27" s="121" t="str">
        <f t="shared" si="12"/>
        <v>白－白－白</v>
      </c>
      <c r="AF27" s="121" t="s">
        <v>134</v>
      </c>
      <c r="AG27" s="231" t="str">
        <f t="shared" si="13"/>
        <v>水色－紺－水色</v>
      </c>
      <c r="AH27" s="232"/>
    </row>
    <row r="28" spans="1:34" ht="19.5" customHeight="1">
      <c r="A28" s="107"/>
      <c r="B28" s="98">
        <v>15</v>
      </c>
      <c r="C28" s="99">
        <f t="shared" si="0"/>
        <v>10</v>
      </c>
      <c r="D28" s="100" t="s">
        <v>16</v>
      </c>
      <c r="E28" s="101">
        <f t="shared" si="1"/>
        <v>1</v>
      </c>
      <c r="F28" s="100" t="s">
        <v>17</v>
      </c>
      <c r="G28" s="102">
        <v>43009</v>
      </c>
      <c r="H28" s="103" t="s">
        <v>124</v>
      </c>
      <c r="I28" s="104" t="s">
        <v>127</v>
      </c>
      <c r="J28" s="137" t="str">
        <f>$N$61</f>
        <v>カルシオフットボールクラブ</v>
      </c>
      <c r="K28" s="105">
        <v>1</v>
      </c>
      <c r="L28" s="100" t="s">
        <v>5</v>
      </c>
      <c r="M28" s="106">
        <v>2</v>
      </c>
      <c r="N28" s="124" t="str">
        <f>$N$60</f>
        <v>大阪教員クラブ</v>
      </c>
      <c r="O28" s="132" t="s">
        <v>161</v>
      </c>
      <c r="P28" s="131" t="s">
        <v>162</v>
      </c>
      <c r="Q28" s="124" t="s">
        <v>152</v>
      </c>
      <c r="R28" s="165" t="str">
        <f t="shared" si="2"/>
        <v>10/1</v>
      </c>
      <c r="S28" s="165">
        <f t="shared" si="3"/>
        <v>20171001</v>
      </c>
      <c r="T28" s="165">
        <f t="shared" si="4"/>
        <v>15</v>
      </c>
      <c r="U28" s="165">
        <f t="shared" si="5"/>
        <v>0</v>
      </c>
      <c r="V28" s="165">
        <f t="shared" si="6"/>
        <v>0</v>
      </c>
      <c r="W28" s="165">
        <f t="shared" si="7"/>
        <v>0</v>
      </c>
      <c r="X28" s="126" t="str">
        <f t="shared" si="8"/>
        <v>カルシオフットボールクラブ</v>
      </c>
      <c r="Y28" s="103" t="s">
        <v>133</v>
      </c>
      <c r="Z28" s="103" t="str">
        <f t="shared" si="9"/>
        <v>青－青－青</v>
      </c>
      <c r="AA28" s="103" t="s">
        <v>133</v>
      </c>
      <c r="AB28" s="166" t="str">
        <f t="shared" si="10"/>
        <v>黄－黒－黄</v>
      </c>
      <c r="AC28" s="98" t="str">
        <f t="shared" si="11"/>
        <v>大阪教員クラブ</v>
      </c>
      <c r="AD28" s="103" t="s">
        <v>134</v>
      </c>
      <c r="AE28" s="103" t="str">
        <f t="shared" si="12"/>
        <v>白－白－白</v>
      </c>
      <c r="AF28" s="103" t="s">
        <v>133</v>
      </c>
      <c r="AG28" s="166" t="str">
        <f t="shared" si="13"/>
        <v>ピンク－黒－黒</v>
      </c>
      <c r="AH28" s="128"/>
    </row>
    <row r="29" spans="1:34" ht="19.5" customHeight="1">
      <c r="A29" s="107"/>
      <c r="B29" s="157">
        <v>6</v>
      </c>
      <c r="C29" s="158">
        <f t="shared" si="0"/>
        <v>10</v>
      </c>
      <c r="D29" s="134" t="s">
        <v>53</v>
      </c>
      <c r="E29" s="159">
        <f t="shared" si="1"/>
        <v>1</v>
      </c>
      <c r="F29" s="134" t="s">
        <v>51</v>
      </c>
      <c r="G29" s="160">
        <v>43009</v>
      </c>
      <c r="H29" s="161" t="s">
        <v>124</v>
      </c>
      <c r="I29" s="162" t="s">
        <v>126</v>
      </c>
      <c r="J29" s="139" t="str">
        <f>$N$59</f>
        <v>枚方フットボールクラブ</v>
      </c>
      <c r="K29" s="133">
        <v>1</v>
      </c>
      <c r="L29" s="134" t="s">
        <v>5</v>
      </c>
      <c r="M29" s="135">
        <v>1</v>
      </c>
      <c r="N29" s="136" t="str">
        <f>$N$58</f>
        <v>パナソニックES社サッカー部</v>
      </c>
      <c r="O29" s="163" t="s">
        <v>168</v>
      </c>
      <c r="P29" s="164" t="s">
        <v>169</v>
      </c>
      <c r="Q29" s="136" t="s">
        <v>137</v>
      </c>
      <c r="R29" s="167" t="str">
        <f t="shared" si="2"/>
        <v>10/1</v>
      </c>
      <c r="S29" s="167">
        <f t="shared" si="3"/>
        <v>20171001</v>
      </c>
      <c r="T29" s="167">
        <f t="shared" si="4"/>
        <v>6</v>
      </c>
      <c r="U29" s="167">
        <f t="shared" si="5"/>
        <v>0</v>
      </c>
      <c r="V29" s="167">
        <f t="shared" si="6"/>
        <v>0</v>
      </c>
      <c r="W29" s="167">
        <f t="shared" si="7"/>
        <v>0</v>
      </c>
      <c r="X29" s="168" t="str">
        <f t="shared" si="8"/>
        <v>枚方フットボールクラブ</v>
      </c>
      <c r="Y29" s="161" t="s">
        <v>134</v>
      </c>
      <c r="Z29" s="161" t="str">
        <f t="shared" si="9"/>
        <v>赤－白－赤</v>
      </c>
      <c r="AA29" s="161" t="s">
        <v>133</v>
      </c>
      <c r="AB29" s="169" t="str">
        <f t="shared" si="10"/>
        <v>緑－緑－緑</v>
      </c>
      <c r="AC29" s="157" t="str">
        <f t="shared" si="11"/>
        <v>パナソニックES社サッカー部</v>
      </c>
      <c r="AD29" s="161" t="s">
        <v>133</v>
      </c>
      <c r="AE29" s="161" t="str">
        <f t="shared" si="12"/>
        <v>青－青－青</v>
      </c>
      <c r="AF29" s="161" t="s">
        <v>134</v>
      </c>
      <c r="AG29" s="169" t="str">
        <f t="shared" si="13"/>
        <v>水色－紺－水色</v>
      </c>
      <c r="AH29" s="129"/>
    </row>
    <row r="30" spans="1:34" ht="19.5" customHeight="1">
      <c r="A30" s="107" t="s">
        <v>185</v>
      </c>
      <c r="B30" s="140">
        <v>29</v>
      </c>
      <c r="C30" s="141">
        <f t="shared" si="0"/>
        <v>10</v>
      </c>
      <c r="D30" s="142" t="s">
        <v>14</v>
      </c>
      <c r="E30" s="143">
        <f t="shared" si="1"/>
        <v>15</v>
      </c>
      <c r="F30" s="142" t="s">
        <v>12</v>
      </c>
      <c r="G30" s="144">
        <v>43023</v>
      </c>
      <c r="H30" s="145" t="s">
        <v>146</v>
      </c>
      <c r="I30" s="104" t="s">
        <v>153</v>
      </c>
      <c r="J30" s="147" t="str">
        <f>$N$64</f>
        <v>エルマーノ大阪サッカークラブ</v>
      </c>
      <c r="K30" s="148">
        <v>0</v>
      </c>
      <c r="L30" s="142" t="s">
        <v>5</v>
      </c>
      <c r="M30" s="149">
        <v>4</v>
      </c>
      <c r="N30" s="150" t="str">
        <f>$N$56</f>
        <v>大阪ガス株式会社サッカー部</v>
      </c>
      <c r="O30" s="151" t="s">
        <v>101</v>
      </c>
      <c r="P30" s="152" t="s">
        <v>100</v>
      </c>
      <c r="Q30" s="150" t="s">
        <v>68</v>
      </c>
      <c r="R30" s="156" t="str">
        <f t="shared" si="2"/>
        <v>10/15</v>
      </c>
      <c r="S30" s="156">
        <f t="shared" si="3"/>
        <v>20171015</v>
      </c>
      <c r="T30" s="156">
        <f t="shared" si="4"/>
        <v>29</v>
      </c>
      <c r="U30" s="156">
        <f t="shared" si="5"/>
        <v>0</v>
      </c>
      <c r="V30" s="156">
        <f t="shared" si="6"/>
        <v>0</v>
      </c>
      <c r="W30" s="156">
        <f t="shared" si="7"/>
        <v>0</v>
      </c>
      <c r="X30" s="153" t="str">
        <f t="shared" si="8"/>
        <v>エルマーノ大阪サッカークラブ</v>
      </c>
      <c r="Y30" s="145" t="s">
        <v>134</v>
      </c>
      <c r="Z30" s="145" t="str">
        <f t="shared" si="9"/>
        <v>白－白－白</v>
      </c>
      <c r="AA30" s="145" t="s">
        <v>134</v>
      </c>
      <c r="AB30" s="154" t="str">
        <f t="shared" si="10"/>
        <v>赤－黒－赤</v>
      </c>
      <c r="AC30" s="140" t="str">
        <f t="shared" si="11"/>
        <v>大阪ガス株式会社サッカー部</v>
      </c>
      <c r="AD30" s="145" t="s">
        <v>133</v>
      </c>
      <c r="AE30" s="145" t="str">
        <f t="shared" si="12"/>
        <v>青－青－青</v>
      </c>
      <c r="AF30" s="145" t="s">
        <v>133</v>
      </c>
      <c r="AG30" s="154" t="str">
        <f t="shared" si="13"/>
        <v>黄－黄－黄</v>
      </c>
      <c r="AH30" s="155"/>
    </row>
    <row r="31" spans="1:34" ht="19.5" customHeight="1">
      <c r="A31" s="107" t="s">
        <v>185</v>
      </c>
      <c r="B31" s="140">
        <v>8</v>
      </c>
      <c r="C31" s="141">
        <f t="shared" si="0"/>
        <v>10</v>
      </c>
      <c r="D31" s="142" t="s">
        <v>16</v>
      </c>
      <c r="E31" s="143">
        <f t="shared" si="1"/>
        <v>15</v>
      </c>
      <c r="F31" s="142" t="s">
        <v>17</v>
      </c>
      <c r="G31" s="144">
        <v>43023</v>
      </c>
      <c r="H31" s="145" t="s">
        <v>146</v>
      </c>
      <c r="I31" s="146" t="s">
        <v>170</v>
      </c>
      <c r="J31" s="147" t="str">
        <f>$N$60</f>
        <v>大阪教員クラブ</v>
      </c>
      <c r="K31" s="148">
        <v>4</v>
      </c>
      <c r="L31" s="142" t="s">
        <v>5</v>
      </c>
      <c r="M31" s="149">
        <v>1</v>
      </c>
      <c r="N31" s="150" t="str">
        <f>$N$57</f>
        <v>阪南FC</v>
      </c>
      <c r="O31" s="151" t="s">
        <v>105</v>
      </c>
      <c r="P31" s="152" t="s">
        <v>103</v>
      </c>
      <c r="Q31" s="150" t="s">
        <v>105</v>
      </c>
      <c r="R31" s="167" t="str">
        <f t="shared" si="2"/>
        <v>10/15</v>
      </c>
      <c r="S31" s="167">
        <f t="shared" si="3"/>
        <v>20171015</v>
      </c>
      <c r="T31" s="167">
        <f t="shared" si="4"/>
        <v>8</v>
      </c>
      <c r="U31" s="167">
        <f t="shared" si="5"/>
        <v>0</v>
      </c>
      <c r="V31" s="167">
        <f t="shared" si="6"/>
        <v>0</v>
      </c>
      <c r="W31" s="167">
        <f t="shared" si="7"/>
        <v>0</v>
      </c>
      <c r="X31" s="153" t="str">
        <f t="shared" si="8"/>
        <v>大阪教員クラブ</v>
      </c>
      <c r="Y31" s="145" t="s">
        <v>134</v>
      </c>
      <c r="Z31" s="145" t="str">
        <f t="shared" si="9"/>
        <v>白－白－白</v>
      </c>
      <c r="AA31" s="145" t="s">
        <v>133</v>
      </c>
      <c r="AB31" s="154" t="str">
        <f t="shared" si="10"/>
        <v>ピンク－黒－黒</v>
      </c>
      <c r="AC31" s="140" t="str">
        <f t="shared" si="11"/>
        <v>阪南FC</v>
      </c>
      <c r="AD31" s="145" t="s">
        <v>133</v>
      </c>
      <c r="AE31" s="145" t="str">
        <f t="shared" si="12"/>
        <v>青－青－青</v>
      </c>
      <c r="AF31" s="145" t="s">
        <v>133</v>
      </c>
      <c r="AG31" s="154" t="str">
        <f t="shared" si="13"/>
        <v>黄－黄－黄</v>
      </c>
      <c r="AH31" s="237"/>
    </row>
    <row r="32" spans="1:34" ht="19.5" customHeight="1">
      <c r="A32" s="107"/>
      <c r="B32" s="157">
        <v>44</v>
      </c>
      <c r="C32" s="158">
        <f t="shared" si="0"/>
        <v>10</v>
      </c>
      <c r="D32" s="134" t="s">
        <v>16</v>
      </c>
      <c r="E32" s="159">
        <f t="shared" si="1"/>
        <v>15</v>
      </c>
      <c r="F32" s="134" t="s">
        <v>17</v>
      </c>
      <c r="G32" s="160">
        <v>43023</v>
      </c>
      <c r="H32" s="161" t="s">
        <v>145</v>
      </c>
      <c r="I32" s="162" t="s">
        <v>157</v>
      </c>
      <c r="J32" s="139" t="str">
        <f>$N$65</f>
        <v>FCボニート</v>
      </c>
      <c r="K32" s="133">
        <v>0</v>
      </c>
      <c r="L32" s="134" t="s">
        <v>5</v>
      </c>
      <c r="M32" s="135">
        <v>1</v>
      </c>
      <c r="N32" s="136" t="str">
        <f>$N$63</f>
        <v>OKFC2011</v>
      </c>
      <c r="O32" s="163" t="s">
        <v>68</v>
      </c>
      <c r="P32" s="164" t="s">
        <v>98</v>
      </c>
      <c r="Q32" s="136" t="s">
        <v>98</v>
      </c>
      <c r="R32" s="238" t="str">
        <f t="shared" si="2"/>
        <v>10/15</v>
      </c>
      <c r="S32" s="238">
        <f t="shared" si="3"/>
        <v>20171015</v>
      </c>
      <c r="T32" s="238">
        <f t="shared" si="4"/>
        <v>44</v>
      </c>
      <c r="U32" s="238">
        <f t="shared" si="5"/>
        <v>0</v>
      </c>
      <c r="V32" s="238">
        <f t="shared" si="6"/>
        <v>0</v>
      </c>
      <c r="W32" s="238">
        <f t="shared" si="7"/>
        <v>0</v>
      </c>
      <c r="X32" s="168" t="str">
        <f t="shared" si="8"/>
        <v>FCボニート</v>
      </c>
      <c r="Y32" s="161" t="s">
        <v>133</v>
      </c>
      <c r="Z32" s="161" t="str">
        <f t="shared" si="9"/>
        <v>白－紺－白</v>
      </c>
      <c r="AA32" s="161" t="s">
        <v>134</v>
      </c>
      <c r="AB32" s="169" t="str">
        <f t="shared" si="10"/>
        <v>水色－灰－紺</v>
      </c>
      <c r="AC32" s="157" t="str">
        <f t="shared" si="11"/>
        <v>OKFC2011</v>
      </c>
      <c r="AD32" s="161" t="s">
        <v>133</v>
      </c>
      <c r="AE32" s="161" t="str">
        <f t="shared" si="12"/>
        <v>赤青縦縞－青－赤</v>
      </c>
      <c r="AF32" s="161" t="s">
        <v>133</v>
      </c>
      <c r="AG32" s="169" t="str">
        <f t="shared" si="13"/>
        <v>黄－黄－黄</v>
      </c>
      <c r="AH32" s="252"/>
    </row>
    <row r="33" spans="1:34" ht="19.5" customHeight="1">
      <c r="A33" s="107" t="s">
        <v>186</v>
      </c>
      <c r="B33" s="140">
        <v>16</v>
      </c>
      <c r="C33" s="141">
        <f t="shared" si="0"/>
        <v>11</v>
      </c>
      <c r="D33" s="142" t="s">
        <v>16</v>
      </c>
      <c r="E33" s="143">
        <f t="shared" si="1"/>
        <v>5</v>
      </c>
      <c r="F33" s="142" t="s">
        <v>17</v>
      </c>
      <c r="G33" s="144">
        <v>43044</v>
      </c>
      <c r="H33" s="145" t="s">
        <v>145</v>
      </c>
      <c r="I33" s="146" t="s">
        <v>173</v>
      </c>
      <c r="J33" s="147" t="str">
        <f>$N$62</f>
        <v>BTMU</v>
      </c>
      <c r="K33" s="148">
        <v>2</v>
      </c>
      <c r="L33" s="142" t="s">
        <v>5</v>
      </c>
      <c r="M33" s="149">
        <v>2</v>
      </c>
      <c r="N33" s="150" t="str">
        <f>$N$56</f>
        <v>大阪ガス株式会社サッカー部</v>
      </c>
      <c r="O33" s="151" t="s">
        <v>102</v>
      </c>
      <c r="P33" s="152" t="s">
        <v>98</v>
      </c>
      <c r="Q33" s="150" t="s">
        <v>102</v>
      </c>
      <c r="R33" s="156" t="str">
        <f t="shared" si="2"/>
        <v>11/5</v>
      </c>
      <c r="S33" s="156">
        <f t="shared" si="3"/>
        <v>20171105</v>
      </c>
      <c r="T33" s="156">
        <f t="shared" si="4"/>
        <v>16</v>
      </c>
      <c r="U33" s="156">
        <f t="shared" si="5"/>
        <v>0</v>
      </c>
      <c r="V33" s="156">
        <f t="shared" si="6"/>
        <v>0</v>
      </c>
      <c r="W33" s="156">
        <f t="shared" si="7"/>
        <v>0</v>
      </c>
      <c r="X33" s="153" t="str">
        <f t="shared" si="8"/>
        <v>BTMU</v>
      </c>
      <c r="Y33" s="145" t="s">
        <v>133</v>
      </c>
      <c r="Z33" s="145" t="str">
        <f t="shared" si="9"/>
        <v>赤－赤－赤</v>
      </c>
      <c r="AA33" s="145" t="s">
        <v>133</v>
      </c>
      <c r="AB33" s="154" t="str">
        <f t="shared" si="10"/>
        <v>緑－緑－緑</v>
      </c>
      <c r="AC33" s="140" t="str">
        <f t="shared" si="11"/>
        <v>大阪ガス株式会社サッカー部</v>
      </c>
      <c r="AD33" s="145" t="s">
        <v>133</v>
      </c>
      <c r="AE33" s="145" t="str">
        <f t="shared" si="12"/>
        <v>青－青－青</v>
      </c>
      <c r="AF33" s="145" t="s">
        <v>133</v>
      </c>
      <c r="AG33" s="154" t="str">
        <f t="shared" si="13"/>
        <v>黄－黄－黄</v>
      </c>
      <c r="AH33" s="155"/>
    </row>
    <row r="34" spans="1:34" ht="19.5" customHeight="1">
      <c r="A34" s="107" t="s">
        <v>186</v>
      </c>
      <c r="B34" s="157">
        <v>5</v>
      </c>
      <c r="C34" s="158">
        <f t="shared" si="0"/>
        <v>11</v>
      </c>
      <c r="D34" s="134" t="s">
        <v>16</v>
      </c>
      <c r="E34" s="159">
        <f t="shared" si="1"/>
        <v>5</v>
      </c>
      <c r="F34" s="134" t="s">
        <v>17</v>
      </c>
      <c r="G34" s="160">
        <v>43044</v>
      </c>
      <c r="H34" s="161" t="s">
        <v>145</v>
      </c>
      <c r="I34" s="162" t="s">
        <v>165</v>
      </c>
      <c r="J34" s="139" t="str">
        <f>$N$59</f>
        <v>枚方フットボールクラブ</v>
      </c>
      <c r="K34" s="133">
        <v>1</v>
      </c>
      <c r="L34" s="134" t="s">
        <v>5</v>
      </c>
      <c r="M34" s="135">
        <v>2</v>
      </c>
      <c r="N34" s="136" t="str">
        <f>$N$57</f>
        <v>阪南FC</v>
      </c>
      <c r="O34" s="163" t="s">
        <v>99</v>
      </c>
      <c r="P34" s="164" t="s">
        <v>103</v>
      </c>
      <c r="Q34" s="136" t="s">
        <v>99</v>
      </c>
      <c r="R34" s="167" t="str">
        <f t="shared" si="2"/>
        <v>11/5</v>
      </c>
      <c r="S34" s="167">
        <f t="shared" si="3"/>
        <v>20171105</v>
      </c>
      <c r="T34" s="167">
        <f t="shared" si="4"/>
        <v>5</v>
      </c>
      <c r="U34" s="167">
        <f t="shared" si="5"/>
        <v>0</v>
      </c>
      <c r="V34" s="167">
        <f t="shared" si="6"/>
        <v>0</v>
      </c>
      <c r="W34" s="167">
        <f t="shared" si="7"/>
        <v>0</v>
      </c>
      <c r="X34" s="168" t="str">
        <f t="shared" si="8"/>
        <v>枚方フットボールクラブ</v>
      </c>
      <c r="Y34" s="161" t="s">
        <v>134</v>
      </c>
      <c r="Z34" s="161" t="str">
        <f t="shared" si="9"/>
        <v>赤－白－赤</v>
      </c>
      <c r="AA34" s="161" t="s">
        <v>133</v>
      </c>
      <c r="AB34" s="169" t="str">
        <f t="shared" si="10"/>
        <v>緑－緑－緑</v>
      </c>
      <c r="AC34" s="157" t="str">
        <f t="shared" si="11"/>
        <v>阪南FC</v>
      </c>
      <c r="AD34" s="161" t="s">
        <v>133</v>
      </c>
      <c r="AE34" s="161" t="str">
        <f t="shared" si="12"/>
        <v>青－青－青</v>
      </c>
      <c r="AF34" s="161" t="s">
        <v>133</v>
      </c>
      <c r="AG34" s="169" t="str">
        <f t="shared" si="13"/>
        <v>黄－黄－黄</v>
      </c>
      <c r="AH34" s="129"/>
    </row>
    <row r="35" spans="1:34" ht="19.5" customHeight="1">
      <c r="A35" s="107" t="s">
        <v>186</v>
      </c>
      <c r="B35" s="98">
        <v>13</v>
      </c>
      <c r="C35" s="99">
        <f t="shared" si="0"/>
        <v>11</v>
      </c>
      <c r="D35" s="100" t="s">
        <v>16</v>
      </c>
      <c r="E35" s="101">
        <f t="shared" si="1"/>
        <v>5</v>
      </c>
      <c r="F35" s="100" t="s">
        <v>17</v>
      </c>
      <c r="G35" s="102">
        <v>43044</v>
      </c>
      <c r="H35" s="103" t="s">
        <v>124</v>
      </c>
      <c r="I35" s="104" t="s">
        <v>127</v>
      </c>
      <c r="J35" s="137" t="str">
        <f>$N$61</f>
        <v>カルシオフットボールクラブ</v>
      </c>
      <c r="K35" s="105">
        <v>3</v>
      </c>
      <c r="L35" s="100" t="s">
        <v>5</v>
      </c>
      <c r="M35" s="126">
        <v>3</v>
      </c>
      <c r="N35" s="124" t="str">
        <f>$N$58</f>
        <v>パナソニックES社サッカー部</v>
      </c>
      <c r="O35" s="132" t="s">
        <v>101</v>
      </c>
      <c r="P35" s="131" t="s">
        <v>68</v>
      </c>
      <c r="Q35" s="124" t="s">
        <v>101</v>
      </c>
      <c r="R35" s="165" t="str">
        <f t="shared" si="2"/>
        <v>11/5</v>
      </c>
      <c r="S35" s="165">
        <f t="shared" si="3"/>
        <v>20171105</v>
      </c>
      <c r="T35" s="165">
        <f t="shared" si="4"/>
        <v>13</v>
      </c>
      <c r="U35" s="165">
        <f t="shared" si="5"/>
        <v>0</v>
      </c>
      <c r="V35" s="165">
        <f t="shared" si="6"/>
        <v>0</v>
      </c>
      <c r="W35" s="165">
        <f t="shared" si="7"/>
        <v>0</v>
      </c>
      <c r="X35" s="126" t="str">
        <f t="shared" si="8"/>
        <v>カルシオフットボールクラブ</v>
      </c>
      <c r="Y35" s="103" t="s">
        <v>133</v>
      </c>
      <c r="Z35" s="103" t="str">
        <f t="shared" si="9"/>
        <v>青－青－青</v>
      </c>
      <c r="AA35" s="103" t="s">
        <v>133</v>
      </c>
      <c r="AB35" s="166" t="str">
        <f t="shared" si="10"/>
        <v>黄－黒－黄</v>
      </c>
      <c r="AC35" s="98" t="str">
        <f t="shared" si="11"/>
        <v>パナソニックES社サッカー部</v>
      </c>
      <c r="AD35" s="103" t="s">
        <v>134</v>
      </c>
      <c r="AE35" s="103" t="str">
        <f t="shared" si="12"/>
        <v>白－白－白</v>
      </c>
      <c r="AF35" s="103" t="s">
        <v>133</v>
      </c>
      <c r="AG35" s="166" t="str">
        <f t="shared" si="13"/>
        <v>ピンク－ピンク－ピンク</v>
      </c>
      <c r="AH35" s="128"/>
    </row>
    <row r="36" spans="1:34" ht="19.5" customHeight="1">
      <c r="A36" s="107" t="s">
        <v>186</v>
      </c>
      <c r="B36" s="157">
        <v>41</v>
      </c>
      <c r="C36" s="158">
        <f t="shared" si="0"/>
        <v>11</v>
      </c>
      <c r="D36" s="134" t="s">
        <v>16</v>
      </c>
      <c r="E36" s="159">
        <f t="shared" si="1"/>
        <v>5</v>
      </c>
      <c r="F36" s="134" t="s">
        <v>17</v>
      </c>
      <c r="G36" s="160">
        <v>43044</v>
      </c>
      <c r="H36" s="161" t="s">
        <v>140</v>
      </c>
      <c r="I36" s="162" t="s">
        <v>139</v>
      </c>
      <c r="J36" s="139" t="str">
        <f>$N$65</f>
        <v>FCボニート</v>
      </c>
      <c r="K36" s="133">
        <v>0</v>
      </c>
      <c r="L36" s="134" t="s">
        <v>5</v>
      </c>
      <c r="M36" s="168">
        <v>3</v>
      </c>
      <c r="N36" s="136" t="str">
        <f>$N$60</f>
        <v>大阪教員クラブ</v>
      </c>
      <c r="O36" s="163" t="s">
        <v>79</v>
      </c>
      <c r="P36" s="164" t="s">
        <v>104</v>
      </c>
      <c r="Q36" s="136" t="s">
        <v>79</v>
      </c>
      <c r="R36" s="167" t="str">
        <f t="shared" si="2"/>
        <v>11/5</v>
      </c>
      <c r="S36" s="167">
        <f t="shared" si="3"/>
        <v>20171105</v>
      </c>
      <c r="T36" s="167">
        <f t="shared" si="4"/>
        <v>41</v>
      </c>
      <c r="U36" s="167">
        <f t="shared" si="5"/>
        <v>0</v>
      </c>
      <c r="V36" s="167">
        <f t="shared" si="6"/>
        <v>0</v>
      </c>
      <c r="W36" s="167">
        <f t="shared" si="7"/>
        <v>0</v>
      </c>
      <c r="X36" s="168" t="str">
        <f t="shared" si="8"/>
        <v>FCボニート</v>
      </c>
      <c r="Y36" s="161" t="s">
        <v>133</v>
      </c>
      <c r="Z36" s="161" t="str">
        <f t="shared" si="9"/>
        <v>白－紺－白</v>
      </c>
      <c r="AA36" s="161" t="s">
        <v>133</v>
      </c>
      <c r="AB36" s="169" t="str">
        <f t="shared" si="10"/>
        <v>紺－紺－紺</v>
      </c>
      <c r="AC36" s="157" t="str">
        <f t="shared" si="11"/>
        <v>大阪教員クラブ</v>
      </c>
      <c r="AD36" s="161" t="s">
        <v>133</v>
      </c>
      <c r="AE36" s="161" t="str">
        <f t="shared" si="12"/>
        <v>青－青－青</v>
      </c>
      <c r="AF36" s="161" t="s">
        <v>133</v>
      </c>
      <c r="AG36" s="169" t="str">
        <f t="shared" si="13"/>
        <v>ピンク－黒－黒</v>
      </c>
      <c r="AH36" s="129" t="s">
        <v>184</v>
      </c>
    </row>
    <row r="37" spans="1:34" ht="19.5" customHeight="1">
      <c r="A37" s="107"/>
      <c r="B37" s="98">
        <v>27</v>
      </c>
      <c r="C37" s="99">
        <f t="shared" si="0"/>
        <v>11</v>
      </c>
      <c r="D37" s="100" t="s">
        <v>16</v>
      </c>
      <c r="E37" s="101">
        <f t="shared" si="1"/>
        <v>12</v>
      </c>
      <c r="F37" s="100" t="s">
        <v>17</v>
      </c>
      <c r="G37" s="102">
        <v>43051</v>
      </c>
      <c r="H37" s="103" t="s">
        <v>147</v>
      </c>
      <c r="I37" s="104" t="s">
        <v>153</v>
      </c>
      <c r="J37" s="137" t="str">
        <f>$N$63</f>
        <v>OKFC2011</v>
      </c>
      <c r="K37" s="105">
        <v>1</v>
      </c>
      <c r="L37" s="100" t="s">
        <v>5</v>
      </c>
      <c r="M37" s="106">
        <v>1</v>
      </c>
      <c r="N37" s="124" t="str">
        <f>$N$61</f>
        <v>カルシオフットボールクラブ</v>
      </c>
      <c r="O37" s="132" t="s">
        <v>158</v>
      </c>
      <c r="P37" s="131" t="s">
        <v>99</v>
      </c>
      <c r="Q37" s="124" t="s">
        <v>99</v>
      </c>
      <c r="R37" s="165" t="str">
        <f t="shared" si="2"/>
        <v>11/12</v>
      </c>
      <c r="S37" s="165">
        <f t="shared" si="3"/>
        <v>20171112</v>
      </c>
      <c r="T37" s="165">
        <f t="shared" si="4"/>
        <v>27</v>
      </c>
      <c r="U37" s="165">
        <f t="shared" si="5"/>
        <v>0</v>
      </c>
      <c r="V37" s="165">
        <f t="shared" si="6"/>
        <v>0</v>
      </c>
      <c r="W37" s="165">
        <f t="shared" si="7"/>
        <v>0</v>
      </c>
      <c r="X37" s="126" t="str">
        <f t="shared" si="8"/>
        <v>OKFC2011</v>
      </c>
      <c r="Y37" s="103" t="s">
        <v>133</v>
      </c>
      <c r="Z37" s="103" t="str">
        <f t="shared" si="9"/>
        <v>赤青縦縞－青－赤</v>
      </c>
      <c r="AA37" s="103" t="s">
        <v>134</v>
      </c>
      <c r="AB37" s="166" t="str">
        <f t="shared" si="10"/>
        <v>水色－水色－水色</v>
      </c>
      <c r="AC37" s="98" t="str">
        <f t="shared" si="11"/>
        <v>カルシオフットボールクラブ</v>
      </c>
      <c r="AD37" s="103" t="s">
        <v>134</v>
      </c>
      <c r="AE37" s="103" t="str">
        <f t="shared" si="12"/>
        <v>白－白－白</v>
      </c>
      <c r="AF37" s="103" t="s">
        <v>133</v>
      </c>
      <c r="AG37" s="166" t="str">
        <f t="shared" si="13"/>
        <v>黄－黒－黄</v>
      </c>
      <c r="AH37" s="128"/>
    </row>
    <row r="38" spans="1:34" ht="19.5" customHeight="1">
      <c r="A38" s="107"/>
      <c r="B38" s="157">
        <v>35</v>
      </c>
      <c r="C38" s="158">
        <f t="shared" si="0"/>
        <v>11</v>
      </c>
      <c r="D38" s="134" t="s">
        <v>53</v>
      </c>
      <c r="E38" s="159">
        <f t="shared" si="1"/>
        <v>12</v>
      </c>
      <c r="F38" s="134" t="s">
        <v>51</v>
      </c>
      <c r="G38" s="160">
        <v>43051</v>
      </c>
      <c r="H38" s="161" t="s">
        <v>147</v>
      </c>
      <c r="I38" s="162" t="s">
        <v>170</v>
      </c>
      <c r="J38" s="139" t="str">
        <f>$N$64</f>
        <v>エルマーノ大阪サッカークラブ</v>
      </c>
      <c r="K38" s="133">
        <v>0</v>
      </c>
      <c r="L38" s="134" t="s">
        <v>5</v>
      </c>
      <c r="M38" s="135">
        <v>1</v>
      </c>
      <c r="N38" s="136" t="str">
        <f>$N$62</f>
        <v>BTMU</v>
      </c>
      <c r="O38" s="163" t="s">
        <v>100</v>
      </c>
      <c r="P38" s="164" t="s">
        <v>79</v>
      </c>
      <c r="Q38" s="136" t="s">
        <v>171</v>
      </c>
      <c r="R38" s="167" t="str">
        <f t="shared" si="2"/>
        <v>11/12</v>
      </c>
      <c r="S38" s="167">
        <f t="shared" si="3"/>
        <v>20171112</v>
      </c>
      <c r="T38" s="167">
        <f t="shared" si="4"/>
        <v>35</v>
      </c>
      <c r="U38" s="167">
        <f t="shared" si="5"/>
        <v>0</v>
      </c>
      <c r="V38" s="167">
        <f t="shared" si="6"/>
        <v>0</v>
      </c>
      <c r="W38" s="167">
        <f t="shared" si="7"/>
        <v>0</v>
      </c>
      <c r="X38" s="168" t="str">
        <f t="shared" si="8"/>
        <v>エルマーノ大阪サッカークラブ</v>
      </c>
      <c r="Y38" s="161" t="s">
        <v>133</v>
      </c>
      <c r="Z38" s="161" t="str">
        <f t="shared" si="9"/>
        <v>水色－紺－水色</v>
      </c>
      <c r="AA38" s="161" t="s">
        <v>133</v>
      </c>
      <c r="AB38" s="169" t="str">
        <f t="shared" si="10"/>
        <v>黄－黒－黄</v>
      </c>
      <c r="AC38" s="157" t="str">
        <f t="shared" si="11"/>
        <v>BTMU</v>
      </c>
      <c r="AD38" s="161" t="s">
        <v>133</v>
      </c>
      <c r="AE38" s="161" t="str">
        <f t="shared" si="12"/>
        <v>赤－赤－赤</v>
      </c>
      <c r="AF38" s="161" t="s">
        <v>133</v>
      </c>
      <c r="AG38" s="169" t="str">
        <f t="shared" si="13"/>
        <v>緑－緑－緑</v>
      </c>
      <c r="AH38" s="129"/>
    </row>
    <row r="39" spans="1:34" ht="19.5" customHeight="1">
      <c r="A39" s="107" t="s">
        <v>197</v>
      </c>
      <c r="B39" s="259">
        <v>10</v>
      </c>
      <c r="C39" s="260">
        <f t="shared" si="0"/>
        <v>11</v>
      </c>
      <c r="D39" s="261" t="s">
        <v>16</v>
      </c>
      <c r="E39" s="262">
        <f t="shared" si="1"/>
        <v>12</v>
      </c>
      <c r="F39" s="261" t="s">
        <v>17</v>
      </c>
      <c r="G39" s="263">
        <v>43051</v>
      </c>
      <c r="H39" s="264" t="s">
        <v>125</v>
      </c>
      <c r="I39" s="265" t="s">
        <v>192</v>
      </c>
      <c r="J39" s="317" t="str">
        <f>$N$60</f>
        <v>大阪教員クラブ</v>
      </c>
      <c r="K39" s="318">
        <v>0</v>
      </c>
      <c r="L39" s="261" t="s">
        <v>5</v>
      </c>
      <c r="M39" s="319">
        <v>0</v>
      </c>
      <c r="N39" s="320" t="str">
        <f>$N$59</f>
        <v>枚方フットボールクラブ</v>
      </c>
      <c r="O39" s="261" t="s">
        <v>201</v>
      </c>
      <c r="P39" s="264" t="s">
        <v>201</v>
      </c>
      <c r="Q39" s="320" t="s">
        <v>68</v>
      </c>
      <c r="R39" s="321" t="str">
        <f t="shared" si="2"/>
        <v>11/12</v>
      </c>
      <c r="S39" s="321">
        <f t="shared" si="3"/>
        <v>20171112</v>
      </c>
      <c r="T39" s="321">
        <f t="shared" si="4"/>
        <v>10</v>
      </c>
      <c r="U39" s="321" t="e">
        <f t="shared" si="5"/>
        <v>#N/A</v>
      </c>
      <c r="V39" s="321" t="e">
        <f t="shared" si="6"/>
        <v>#N/A</v>
      </c>
      <c r="W39" s="321">
        <f t="shared" si="7"/>
        <v>0</v>
      </c>
      <c r="X39" s="322" t="str">
        <f t="shared" si="8"/>
        <v>大阪教員クラブ</v>
      </c>
      <c r="Y39" s="264" t="s">
        <v>133</v>
      </c>
      <c r="Z39" s="264" t="str">
        <f t="shared" si="9"/>
        <v>青－青－青</v>
      </c>
      <c r="AA39" s="264" t="s">
        <v>134</v>
      </c>
      <c r="AB39" s="323" t="str">
        <f t="shared" si="10"/>
        <v>黄－黒－黒</v>
      </c>
      <c r="AC39" s="259" t="str">
        <f t="shared" si="11"/>
        <v>枚方フットボールクラブ</v>
      </c>
      <c r="AD39" s="264" t="s">
        <v>134</v>
      </c>
      <c r="AE39" s="264" t="str">
        <f t="shared" si="12"/>
        <v>赤－白－赤</v>
      </c>
      <c r="AF39" s="264" t="s">
        <v>133</v>
      </c>
      <c r="AG39" s="323" t="str">
        <f t="shared" si="13"/>
        <v>緑－緑－緑</v>
      </c>
      <c r="AH39" s="227"/>
    </row>
    <row r="40" spans="1:34" ht="19.5" customHeight="1">
      <c r="A40" s="107"/>
      <c r="B40" s="98">
        <v>2</v>
      </c>
      <c r="C40" s="99">
        <f t="shared" si="0"/>
        <v>11</v>
      </c>
      <c r="D40" s="100" t="s">
        <v>53</v>
      </c>
      <c r="E40" s="101">
        <f t="shared" si="1"/>
        <v>19</v>
      </c>
      <c r="F40" s="100" t="s">
        <v>51</v>
      </c>
      <c r="G40" s="102">
        <v>43058</v>
      </c>
      <c r="H40" s="103" t="s">
        <v>145</v>
      </c>
      <c r="I40" s="104" t="s">
        <v>153</v>
      </c>
      <c r="J40" s="137" t="str">
        <f>$N$58</f>
        <v>パナソニックES社サッカー部</v>
      </c>
      <c r="K40" s="105">
        <v>0</v>
      </c>
      <c r="L40" s="100" t="s">
        <v>5</v>
      </c>
      <c r="M40" s="106">
        <v>4</v>
      </c>
      <c r="N40" s="124" t="str">
        <f>$N$56</f>
        <v>大阪ガス株式会社サッカー部</v>
      </c>
      <c r="O40" s="132" t="s">
        <v>201</v>
      </c>
      <c r="P40" s="131" t="s">
        <v>201</v>
      </c>
      <c r="Q40" s="124" t="s">
        <v>137</v>
      </c>
      <c r="R40" s="238" t="str">
        <f t="shared" si="2"/>
        <v>11/19</v>
      </c>
      <c r="S40" s="238">
        <f t="shared" si="3"/>
        <v>20171119</v>
      </c>
      <c r="T40" s="238">
        <f t="shared" si="4"/>
        <v>2</v>
      </c>
      <c r="U40" s="238" t="e">
        <f t="shared" si="5"/>
        <v>#N/A</v>
      </c>
      <c r="V40" s="238" t="e">
        <f t="shared" si="6"/>
        <v>#N/A</v>
      </c>
      <c r="W40" s="238">
        <f t="shared" si="7"/>
        <v>0</v>
      </c>
      <c r="X40" s="126" t="str">
        <f t="shared" si="8"/>
        <v>パナソニックES社サッカー部</v>
      </c>
      <c r="Y40" s="103" t="s">
        <v>134</v>
      </c>
      <c r="Z40" s="103" t="str">
        <f t="shared" si="9"/>
        <v>白－白－白</v>
      </c>
      <c r="AA40" s="103" t="s">
        <v>133</v>
      </c>
      <c r="AB40" s="166" t="str">
        <f t="shared" si="10"/>
        <v>ピンク－ピンク－ピンク</v>
      </c>
      <c r="AC40" s="98" t="str">
        <f t="shared" si="11"/>
        <v>大阪ガス株式会社サッカー部</v>
      </c>
      <c r="AD40" s="103" t="s">
        <v>133</v>
      </c>
      <c r="AE40" s="103" t="str">
        <f t="shared" si="12"/>
        <v>青－青－青</v>
      </c>
      <c r="AF40" s="103" t="s">
        <v>133</v>
      </c>
      <c r="AG40" s="166" t="str">
        <f t="shared" si="13"/>
        <v>黄－黄－黄</v>
      </c>
      <c r="AH40" s="128"/>
    </row>
    <row r="41" spans="1:34" ht="19.5" customHeight="1">
      <c r="A41" s="107"/>
      <c r="B41" s="140">
        <v>26</v>
      </c>
      <c r="C41" s="141">
        <f t="shared" si="0"/>
        <v>11</v>
      </c>
      <c r="D41" s="142" t="s">
        <v>53</v>
      </c>
      <c r="E41" s="143">
        <f t="shared" si="1"/>
        <v>19</v>
      </c>
      <c r="F41" s="142" t="s">
        <v>51</v>
      </c>
      <c r="G41" s="144">
        <v>43058</v>
      </c>
      <c r="H41" s="145" t="s">
        <v>146</v>
      </c>
      <c r="I41" s="146" t="s">
        <v>154</v>
      </c>
      <c r="J41" s="147" t="str">
        <f>$N$63</f>
        <v>OKFC2011</v>
      </c>
      <c r="K41" s="148">
        <v>1</v>
      </c>
      <c r="L41" s="142" t="s">
        <v>5</v>
      </c>
      <c r="M41" s="149">
        <v>2</v>
      </c>
      <c r="N41" s="150" t="str">
        <f>$N$60</f>
        <v>大阪教員クラブ</v>
      </c>
      <c r="O41" s="151" t="s">
        <v>201</v>
      </c>
      <c r="P41" s="152" t="s">
        <v>201</v>
      </c>
      <c r="Q41" s="150" t="s">
        <v>104</v>
      </c>
      <c r="R41" s="156" t="str">
        <f t="shared" si="2"/>
        <v>11/19</v>
      </c>
      <c r="S41" s="156">
        <f t="shared" si="3"/>
        <v>20171119</v>
      </c>
      <c r="T41" s="156">
        <f t="shared" si="4"/>
        <v>26</v>
      </c>
      <c r="U41" s="156" t="e">
        <f t="shared" si="5"/>
        <v>#N/A</v>
      </c>
      <c r="V41" s="156" t="e">
        <f t="shared" si="6"/>
        <v>#N/A</v>
      </c>
      <c r="W41" s="156">
        <f t="shared" si="7"/>
        <v>0</v>
      </c>
      <c r="X41" s="153" t="str">
        <f t="shared" si="8"/>
        <v>OKFC2011</v>
      </c>
      <c r="Y41" s="145" t="s">
        <v>133</v>
      </c>
      <c r="Z41" s="145" t="str">
        <f t="shared" si="9"/>
        <v>赤青縦縞－青－赤</v>
      </c>
      <c r="AA41" s="145" t="s">
        <v>134</v>
      </c>
      <c r="AB41" s="154" t="str">
        <f t="shared" si="10"/>
        <v>水色－水色－水色</v>
      </c>
      <c r="AC41" s="140" t="str">
        <f t="shared" si="11"/>
        <v>大阪教員クラブ</v>
      </c>
      <c r="AD41" s="145" t="s">
        <v>134</v>
      </c>
      <c r="AE41" s="145" t="str">
        <f t="shared" si="12"/>
        <v>白－白－白</v>
      </c>
      <c r="AF41" s="145" t="s">
        <v>134</v>
      </c>
      <c r="AG41" s="154" t="str">
        <f t="shared" si="13"/>
        <v>黄－黒－黒</v>
      </c>
      <c r="AH41" s="155"/>
    </row>
    <row r="42" spans="1:34" ht="19.5" customHeight="1">
      <c r="A42" s="107"/>
      <c r="B42" s="98">
        <v>30</v>
      </c>
      <c r="C42" s="99">
        <f t="shared" si="0"/>
        <v>11</v>
      </c>
      <c r="D42" s="100" t="s">
        <v>53</v>
      </c>
      <c r="E42" s="101">
        <f t="shared" si="1"/>
        <v>19</v>
      </c>
      <c r="F42" s="100" t="s">
        <v>51</v>
      </c>
      <c r="G42" s="102">
        <v>43058</v>
      </c>
      <c r="H42" s="103" t="s">
        <v>172</v>
      </c>
      <c r="I42" s="104" t="s">
        <v>142</v>
      </c>
      <c r="J42" s="137" t="str">
        <f>$N$64</f>
        <v>エルマーノ大阪サッカークラブ</v>
      </c>
      <c r="K42" s="105">
        <v>1</v>
      </c>
      <c r="L42" s="100" t="s">
        <v>5</v>
      </c>
      <c r="M42" s="106">
        <v>3</v>
      </c>
      <c r="N42" s="124" t="str">
        <f>$N$57</f>
        <v>阪南FC</v>
      </c>
      <c r="O42" s="132" t="s">
        <v>101</v>
      </c>
      <c r="P42" s="131" t="s">
        <v>193</v>
      </c>
      <c r="Q42" s="124" t="s">
        <v>141</v>
      </c>
      <c r="R42" s="165" t="str">
        <f t="shared" si="2"/>
        <v>11/19</v>
      </c>
      <c r="S42" s="165">
        <f t="shared" si="3"/>
        <v>20171119</v>
      </c>
      <c r="T42" s="165">
        <f t="shared" si="4"/>
        <v>30</v>
      </c>
      <c r="U42" s="165">
        <f t="shared" si="5"/>
        <v>0</v>
      </c>
      <c r="V42" s="165">
        <f t="shared" si="6"/>
        <v>0</v>
      </c>
      <c r="W42" s="165">
        <f t="shared" si="7"/>
        <v>0</v>
      </c>
      <c r="X42" s="126" t="str">
        <f t="shared" si="8"/>
        <v>エルマーノ大阪サッカークラブ</v>
      </c>
      <c r="Y42" s="103" t="s">
        <v>134</v>
      </c>
      <c r="Z42" s="103" t="str">
        <f t="shared" si="9"/>
        <v>白－白－白</v>
      </c>
      <c r="AA42" s="103" t="s">
        <v>133</v>
      </c>
      <c r="AB42" s="166" t="str">
        <f t="shared" si="10"/>
        <v>黄－黒－黄</v>
      </c>
      <c r="AC42" s="98" t="str">
        <f t="shared" si="11"/>
        <v>阪南FC</v>
      </c>
      <c r="AD42" s="103" t="s">
        <v>133</v>
      </c>
      <c r="AE42" s="103" t="str">
        <f t="shared" si="12"/>
        <v>青－青－青</v>
      </c>
      <c r="AF42" s="103" t="s">
        <v>134</v>
      </c>
      <c r="AG42" s="166" t="str">
        <f t="shared" si="13"/>
        <v>緑－黒－黒</v>
      </c>
      <c r="AH42" s="128"/>
    </row>
    <row r="43" spans="1:34" ht="19.5" customHeight="1">
      <c r="A43" s="107"/>
      <c r="B43" s="157">
        <v>43</v>
      </c>
      <c r="C43" s="158">
        <f t="shared" si="0"/>
        <v>11</v>
      </c>
      <c r="D43" s="134" t="s">
        <v>53</v>
      </c>
      <c r="E43" s="159">
        <f t="shared" si="1"/>
        <v>19</v>
      </c>
      <c r="F43" s="134" t="s">
        <v>51</v>
      </c>
      <c r="G43" s="160">
        <v>43058</v>
      </c>
      <c r="H43" s="161" t="s">
        <v>194</v>
      </c>
      <c r="I43" s="162" t="s">
        <v>195</v>
      </c>
      <c r="J43" s="139" t="str">
        <f>$N$65</f>
        <v>FCボニート</v>
      </c>
      <c r="K43" s="133">
        <v>2</v>
      </c>
      <c r="L43" s="134" t="s">
        <v>5</v>
      </c>
      <c r="M43" s="135">
        <v>3</v>
      </c>
      <c r="N43" s="136" t="str">
        <f>$N$62</f>
        <v>BTMU</v>
      </c>
      <c r="O43" s="163" t="s">
        <v>158</v>
      </c>
      <c r="P43" s="164" t="s">
        <v>196</v>
      </c>
      <c r="Q43" s="136" t="s">
        <v>98</v>
      </c>
      <c r="R43" s="167" t="str">
        <f t="shared" si="2"/>
        <v>11/19</v>
      </c>
      <c r="S43" s="167">
        <f t="shared" si="3"/>
        <v>20171119</v>
      </c>
      <c r="T43" s="167">
        <f t="shared" si="4"/>
        <v>43</v>
      </c>
      <c r="U43" s="167">
        <f t="shared" si="5"/>
        <v>0</v>
      </c>
      <c r="V43" s="167">
        <f t="shared" si="6"/>
        <v>0</v>
      </c>
      <c r="W43" s="167">
        <f t="shared" si="7"/>
        <v>0</v>
      </c>
      <c r="X43" s="168" t="str">
        <f t="shared" si="8"/>
        <v>FCボニート</v>
      </c>
      <c r="Y43" s="161" t="s">
        <v>133</v>
      </c>
      <c r="Z43" s="161" t="str">
        <f t="shared" si="9"/>
        <v>白－紺－白</v>
      </c>
      <c r="AA43" s="161" t="s">
        <v>133</v>
      </c>
      <c r="AB43" s="169" t="str">
        <f t="shared" si="10"/>
        <v>紺－紺－紺</v>
      </c>
      <c r="AC43" s="157" t="str">
        <f t="shared" si="11"/>
        <v>BTMU</v>
      </c>
      <c r="AD43" s="161" t="s">
        <v>133</v>
      </c>
      <c r="AE43" s="161" t="str">
        <f t="shared" si="12"/>
        <v>赤－赤－赤</v>
      </c>
      <c r="AF43" s="161" t="s">
        <v>133</v>
      </c>
      <c r="AG43" s="169" t="str">
        <f t="shared" si="13"/>
        <v>緑－緑－緑</v>
      </c>
      <c r="AH43" s="129"/>
    </row>
    <row r="44" spans="1:34" ht="19.5" customHeight="1">
      <c r="A44" s="107"/>
      <c r="B44" s="98">
        <v>36</v>
      </c>
      <c r="C44" s="99">
        <f t="shared" si="0"/>
        <v>12</v>
      </c>
      <c r="D44" s="100" t="s">
        <v>143</v>
      </c>
      <c r="E44" s="101">
        <f t="shared" si="1"/>
        <v>3</v>
      </c>
      <c r="F44" s="100" t="s">
        <v>144</v>
      </c>
      <c r="G44" s="102">
        <v>43072</v>
      </c>
      <c r="H44" s="103" t="s">
        <v>135</v>
      </c>
      <c r="I44" s="104" t="s">
        <v>127</v>
      </c>
      <c r="J44" s="137" t="str">
        <f>$N$64</f>
        <v>エルマーノ大阪サッカークラブ</v>
      </c>
      <c r="K44" s="105">
        <v>2</v>
      </c>
      <c r="L44" s="100" t="s">
        <v>5</v>
      </c>
      <c r="M44" s="106">
        <v>1</v>
      </c>
      <c r="N44" s="124" t="str">
        <f>$N$63</f>
        <v>OKFC2011</v>
      </c>
      <c r="O44" s="132" t="s">
        <v>99</v>
      </c>
      <c r="P44" s="131" t="s">
        <v>161</v>
      </c>
      <c r="Q44" s="124" t="s">
        <v>99</v>
      </c>
      <c r="R44" s="165" t="str">
        <f t="shared" si="2"/>
        <v>12/3</v>
      </c>
      <c r="S44" s="165">
        <f t="shared" si="3"/>
        <v>20171203</v>
      </c>
      <c r="T44" s="165">
        <f t="shared" si="4"/>
        <v>36</v>
      </c>
      <c r="U44" s="165">
        <f t="shared" si="5"/>
        <v>0</v>
      </c>
      <c r="V44" s="165">
        <f t="shared" si="6"/>
        <v>0</v>
      </c>
      <c r="W44" s="165">
        <f t="shared" si="7"/>
        <v>0</v>
      </c>
      <c r="X44" s="126" t="str">
        <f t="shared" si="8"/>
        <v>エルマーノ大阪サッカークラブ</v>
      </c>
      <c r="Y44" s="103" t="s">
        <v>134</v>
      </c>
      <c r="Z44" s="103" t="str">
        <f t="shared" si="9"/>
        <v>白－白－白</v>
      </c>
      <c r="AA44" s="103" t="s">
        <v>133</v>
      </c>
      <c r="AB44" s="166" t="str">
        <f t="shared" si="10"/>
        <v>黄－黒－黄</v>
      </c>
      <c r="AC44" s="98" t="str">
        <f t="shared" si="11"/>
        <v>OKFC2011</v>
      </c>
      <c r="AD44" s="103" t="s">
        <v>133</v>
      </c>
      <c r="AE44" s="103" t="str">
        <f t="shared" si="12"/>
        <v>赤青縦縞－青－赤</v>
      </c>
      <c r="AF44" s="103" t="s">
        <v>134</v>
      </c>
      <c r="AG44" s="166" t="str">
        <f t="shared" si="13"/>
        <v>水色－水色－水色</v>
      </c>
      <c r="AH44" s="128"/>
    </row>
    <row r="45" spans="1:34" ht="19.5" customHeight="1">
      <c r="A45" s="107"/>
      <c r="B45" s="157">
        <v>19</v>
      </c>
      <c r="C45" s="158">
        <f t="shared" si="0"/>
        <v>12</v>
      </c>
      <c r="D45" s="134" t="s">
        <v>16</v>
      </c>
      <c r="E45" s="159">
        <f t="shared" si="1"/>
        <v>3</v>
      </c>
      <c r="F45" s="134" t="s">
        <v>17</v>
      </c>
      <c r="G45" s="160">
        <v>43072</v>
      </c>
      <c r="H45" s="161" t="s">
        <v>135</v>
      </c>
      <c r="I45" s="162" t="s">
        <v>156</v>
      </c>
      <c r="J45" s="139" t="str">
        <f>$N$62</f>
        <v>BTMU</v>
      </c>
      <c r="K45" s="133">
        <v>3</v>
      </c>
      <c r="L45" s="134" t="s">
        <v>5</v>
      </c>
      <c r="M45" s="135">
        <v>3</v>
      </c>
      <c r="N45" s="136" t="str">
        <f>$N$59</f>
        <v>枚方フットボールクラブ</v>
      </c>
      <c r="O45" s="163" t="s">
        <v>158</v>
      </c>
      <c r="P45" s="164" t="s">
        <v>100</v>
      </c>
      <c r="Q45" s="136" t="s">
        <v>100</v>
      </c>
      <c r="R45" s="167" t="str">
        <f t="shared" si="2"/>
        <v>12/3</v>
      </c>
      <c r="S45" s="167">
        <f t="shared" si="3"/>
        <v>20171203</v>
      </c>
      <c r="T45" s="167">
        <f t="shared" si="4"/>
        <v>19</v>
      </c>
      <c r="U45" s="167">
        <f t="shared" si="5"/>
        <v>0</v>
      </c>
      <c r="V45" s="167">
        <f t="shared" si="6"/>
        <v>0</v>
      </c>
      <c r="W45" s="167">
        <f t="shared" si="7"/>
        <v>0</v>
      </c>
      <c r="X45" s="168" t="str">
        <f t="shared" si="8"/>
        <v>BTMU</v>
      </c>
      <c r="Y45" s="161" t="s">
        <v>133</v>
      </c>
      <c r="Z45" s="161" t="str">
        <f t="shared" si="9"/>
        <v>赤－赤－赤</v>
      </c>
      <c r="AA45" s="161" t="s">
        <v>133</v>
      </c>
      <c r="AB45" s="169" t="str">
        <f t="shared" si="10"/>
        <v>緑－緑－緑</v>
      </c>
      <c r="AC45" s="157" t="str">
        <f t="shared" si="11"/>
        <v>枚方フットボールクラブ</v>
      </c>
      <c r="AD45" s="161" t="s">
        <v>133</v>
      </c>
      <c r="AE45" s="161" t="str">
        <f t="shared" si="12"/>
        <v>黄－青－白</v>
      </c>
      <c r="AF45" s="161" t="s">
        <v>134</v>
      </c>
      <c r="AG45" s="169" t="str">
        <f t="shared" si="13"/>
        <v>灰－灰－灰</v>
      </c>
      <c r="AH45" s="129"/>
    </row>
    <row r="46" spans="1:34" ht="19.5" customHeight="1">
      <c r="A46" s="107" t="s">
        <v>203</v>
      </c>
      <c r="B46" s="249">
        <v>11</v>
      </c>
      <c r="C46" s="324">
        <f t="shared" si="0"/>
        <v>12</v>
      </c>
      <c r="D46" s="325" t="s">
        <v>16</v>
      </c>
      <c r="E46" s="326">
        <f t="shared" si="1"/>
        <v>3</v>
      </c>
      <c r="F46" s="325" t="s">
        <v>17</v>
      </c>
      <c r="G46" s="327">
        <v>43072</v>
      </c>
      <c r="H46" s="250" t="s">
        <v>198</v>
      </c>
      <c r="I46" s="251" t="s">
        <v>199</v>
      </c>
      <c r="J46" s="328" t="str">
        <f>$N$61</f>
        <v>カルシオフットボールクラブ</v>
      </c>
      <c r="K46" s="329">
        <v>2</v>
      </c>
      <c r="L46" s="325" t="s">
        <v>5</v>
      </c>
      <c r="M46" s="330">
        <v>0</v>
      </c>
      <c r="N46" s="331" t="str">
        <f>$N$56</f>
        <v>大阪ガス株式会社サッカー部</v>
      </c>
      <c r="O46" s="332" t="s">
        <v>201</v>
      </c>
      <c r="P46" s="333" t="s">
        <v>201</v>
      </c>
      <c r="Q46" s="331" t="s">
        <v>204</v>
      </c>
      <c r="R46" s="167" t="str">
        <f t="shared" si="2"/>
        <v>12/3</v>
      </c>
      <c r="S46" s="167">
        <f t="shared" si="3"/>
        <v>20171203</v>
      </c>
      <c r="T46" s="167">
        <f t="shared" si="4"/>
        <v>11</v>
      </c>
      <c r="U46" s="167" t="e">
        <f>IF(O46="","",VLOOKUP(O46,$N$56:$R$65,5,0))</f>
        <v>#N/A</v>
      </c>
      <c r="V46" s="167" t="e">
        <f t="shared" si="6"/>
        <v>#N/A</v>
      </c>
      <c r="W46" s="167" t="e">
        <f t="shared" si="7"/>
        <v>#N/A</v>
      </c>
      <c r="X46" s="315" t="str">
        <f t="shared" si="8"/>
        <v>カルシオフットボールクラブ</v>
      </c>
      <c r="Y46" s="250" t="s">
        <v>133</v>
      </c>
      <c r="Z46" s="250" t="str">
        <f t="shared" si="9"/>
        <v>青－青－青</v>
      </c>
      <c r="AA46" s="250" t="s">
        <v>133</v>
      </c>
      <c r="AB46" s="316" t="str">
        <f t="shared" si="10"/>
        <v>黄－黒－黄</v>
      </c>
      <c r="AC46" s="249" t="str">
        <f t="shared" si="11"/>
        <v>大阪ガス株式会社サッカー部</v>
      </c>
      <c r="AD46" s="250" t="s">
        <v>134</v>
      </c>
      <c r="AE46" s="250" t="str">
        <f t="shared" si="12"/>
        <v>白－白－白</v>
      </c>
      <c r="AF46" s="250" t="s">
        <v>134</v>
      </c>
      <c r="AG46" s="316" t="str">
        <f t="shared" si="13"/>
        <v>ピンク－ピンク－ピンク</v>
      </c>
      <c r="AH46" s="252" t="s">
        <v>184</v>
      </c>
    </row>
    <row r="47" spans="1:34" ht="19.5" customHeight="1">
      <c r="A47" s="334" t="s">
        <v>203</v>
      </c>
      <c r="B47" s="249">
        <v>31</v>
      </c>
      <c r="C47" s="324">
        <f t="shared" si="0"/>
        <v>12</v>
      </c>
      <c r="D47" s="325" t="s">
        <v>16</v>
      </c>
      <c r="E47" s="326">
        <f t="shared" si="1"/>
        <v>10</v>
      </c>
      <c r="F47" s="325" t="s">
        <v>17</v>
      </c>
      <c r="G47" s="327">
        <v>43079</v>
      </c>
      <c r="H47" s="250" t="s">
        <v>200</v>
      </c>
      <c r="I47" s="251" t="s">
        <v>202</v>
      </c>
      <c r="J47" s="328" t="str">
        <f>$N$64</f>
        <v>エルマーノ大阪サッカークラブ</v>
      </c>
      <c r="K47" s="329">
        <v>3</v>
      </c>
      <c r="L47" s="325" t="s">
        <v>5</v>
      </c>
      <c r="M47" s="330">
        <v>1</v>
      </c>
      <c r="N47" s="331" t="str">
        <f>$N$58</f>
        <v>パナソニックES社サッカー部</v>
      </c>
      <c r="O47" s="332" t="s">
        <v>201</v>
      </c>
      <c r="P47" s="333" t="s">
        <v>201</v>
      </c>
      <c r="Q47" s="331" t="s">
        <v>205</v>
      </c>
      <c r="R47" s="167" t="str">
        <f t="shared" si="2"/>
        <v>12/10</v>
      </c>
      <c r="S47" s="167">
        <f t="shared" si="3"/>
        <v>20171210</v>
      </c>
      <c r="T47" s="167">
        <f t="shared" si="4"/>
        <v>31</v>
      </c>
      <c r="U47" s="167" t="e">
        <f t="shared" si="5"/>
        <v>#N/A</v>
      </c>
      <c r="V47" s="167" t="e">
        <f t="shared" si="6"/>
        <v>#N/A</v>
      </c>
      <c r="W47" s="167" t="e">
        <f t="shared" si="7"/>
        <v>#N/A</v>
      </c>
      <c r="X47" s="315" t="str">
        <f t="shared" si="8"/>
        <v>エルマーノ大阪サッカークラブ</v>
      </c>
      <c r="Y47" s="250" t="s">
        <v>134</v>
      </c>
      <c r="Z47" s="250" t="str">
        <f t="shared" si="9"/>
        <v>白－白－白</v>
      </c>
      <c r="AA47" s="250" t="s">
        <v>133</v>
      </c>
      <c r="AB47" s="316" t="str">
        <f t="shared" si="10"/>
        <v>黄－黒－黄</v>
      </c>
      <c r="AC47" s="249" t="str">
        <f t="shared" si="11"/>
        <v>パナソニックES社サッカー部</v>
      </c>
      <c r="AD47" s="250" t="s">
        <v>133</v>
      </c>
      <c r="AE47" s="250" t="str">
        <f t="shared" si="12"/>
        <v>青－青－青</v>
      </c>
      <c r="AF47" s="250" t="s">
        <v>133</v>
      </c>
      <c r="AG47" s="316" t="str">
        <f t="shared" si="13"/>
        <v>ピンク－ピンク－ピンク</v>
      </c>
      <c r="AH47" s="252"/>
    </row>
    <row r="48" spans="1:34" ht="16.5" customHeight="1">
      <c r="A48" s="338" t="s">
        <v>45</v>
      </c>
      <c r="B48" s="182" t="s">
        <v>80</v>
      </c>
      <c r="C48" s="183"/>
      <c r="D48" s="183"/>
      <c r="E48" s="183"/>
      <c r="F48" s="183"/>
      <c r="G48" s="183"/>
      <c r="H48" s="183"/>
      <c r="I48" s="183"/>
      <c r="J48" s="183"/>
      <c r="K48" s="183"/>
      <c r="L48" s="183"/>
      <c r="M48" s="183"/>
      <c r="N48" s="183"/>
      <c r="O48" s="183"/>
      <c r="P48" s="183"/>
      <c r="Q48" s="184"/>
      <c r="R48" s="183"/>
      <c r="S48" s="183"/>
      <c r="T48" s="183"/>
      <c r="U48" s="183"/>
      <c r="V48" s="183"/>
      <c r="W48" s="183"/>
      <c r="X48" s="185"/>
      <c r="Y48" s="183"/>
      <c r="Z48" s="183"/>
      <c r="AA48" s="183"/>
      <c r="AB48" s="183"/>
      <c r="AC48" s="183"/>
      <c r="AD48" s="183"/>
      <c r="AE48" s="183"/>
      <c r="AF48" s="183"/>
      <c r="AG48" s="183"/>
      <c r="AH48" s="184"/>
    </row>
    <row r="49" spans="1:45" ht="16.5" customHeight="1">
      <c r="A49" s="339"/>
      <c r="B49" s="186" t="s">
        <v>81</v>
      </c>
      <c r="C49" s="187"/>
      <c r="D49" s="187"/>
      <c r="E49" s="187"/>
      <c r="F49" s="187"/>
      <c r="G49" s="187"/>
      <c r="H49" s="187"/>
      <c r="I49" s="187"/>
      <c r="J49" s="187"/>
      <c r="K49" s="187"/>
      <c r="L49" s="187"/>
      <c r="M49" s="187"/>
      <c r="N49" s="187"/>
      <c r="O49" s="187"/>
      <c r="P49" s="187"/>
      <c r="Q49" s="188"/>
      <c r="R49" s="187"/>
      <c r="S49" s="187"/>
      <c r="T49" s="187"/>
      <c r="U49" s="187"/>
      <c r="V49" s="187"/>
      <c r="W49" s="187"/>
      <c r="X49" s="189"/>
      <c r="Y49" s="187"/>
      <c r="Z49" s="187"/>
      <c r="AA49" s="187"/>
      <c r="AB49" s="187"/>
      <c r="AC49" s="187"/>
      <c r="AD49" s="187"/>
      <c r="AE49" s="187"/>
      <c r="AF49" s="187"/>
      <c r="AG49" s="187"/>
      <c r="AH49" s="188"/>
    </row>
    <row r="50" spans="1:45" ht="16.5" customHeight="1">
      <c r="A50" s="339"/>
      <c r="B50" s="190"/>
      <c r="C50" s="187"/>
      <c r="D50" s="187"/>
      <c r="E50" s="187"/>
      <c r="F50" s="187"/>
      <c r="G50" s="187"/>
      <c r="H50" s="187"/>
      <c r="I50" s="187"/>
      <c r="J50" s="187"/>
      <c r="K50" s="187"/>
      <c r="L50" s="187"/>
      <c r="M50" s="187"/>
      <c r="N50" s="187"/>
      <c r="O50" s="187"/>
      <c r="P50" s="187"/>
      <c r="Q50" s="188"/>
      <c r="R50" s="187"/>
      <c r="S50" s="187"/>
      <c r="T50" s="187"/>
      <c r="U50" s="187"/>
      <c r="V50" s="187"/>
      <c r="W50" s="187"/>
      <c r="X50" s="189"/>
      <c r="Y50" s="187"/>
      <c r="Z50" s="187"/>
      <c r="AA50" s="187"/>
      <c r="AB50" s="187"/>
      <c r="AC50" s="187"/>
      <c r="AD50" s="187"/>
      <c r="AE50" s="187"/>
      <c r="AF50" s="187"/>
      <c r="AG50" s="187"/>
      <c r="AH50" s="188"/>
    </row>
    <row r="51" spans="1:45" ht="16.5" customHeight="1">
      <c r="A51" s="340"/>
      <c r="B51" s="191"/>
      <c r="C51" s="192"/>
      <c r="D51" s="192"/>
      <c r="E51" s="192"/>
      <c r="F51" s="192"/>
      <c r="G51" s="192"/>
      <c r="H51" s="192"/>
      <c r="I51" s="192"/>
      <c r="J51" s="192"/>
      <c r="K51" s="192"/>
      <c r="L51" s="192"/>
      <c r="M51" s="192"/>
      <c r="N51" s="192"/>
      <c r="O51" s="192"/>
      <c r="P51" s="192"/>
      <c r="Q51" s="193"/>
      <c r="R51" s="192"/>
      <c r="S51" s="192"/>
      <c r="T51" s="192"/>
      <c r="U51" s="192"/>
      <c r="V51" s="192"/>
      <c r="W51" s="192"/>
      <c r="X51" s="194"/>
      <c r="Y51" s="192"/>
      <c r="Z51" s="192"/>
      <c r="AA51" s="192"/>
      <c r="AB51" s="192"/>
      <c r="AC51" s="192"/>
      <c r="AD51" s="192"/>
      <c r="AE51" s="192"/>
      <c r="AF51" s="192"/>
      <c r="AG51" s="192"/>
      <c r="AH51" s="193"/>
    </row>
    <row r="54" spans="1:45" ht="27.75" customHeight="1">
      <c r="N54" s="196"/>
      <c r="O54" s="197">
        <v>3000</v>
      </c>
      <c r="P54" s="196">
        <v>3000</v>
      </c>
      <c r="Q54" s="196">
        <v>0</v>
      </c>
      <c r="R54" s="196"/>
      <c r="AI54" s="198" t="s">
        <v>93</v>
      </c>
      <c r="AJ54" s="199" t="s">
        <v>75</v>
      </c>
      <c r="AK54" s="200" t="s">
        <v>94</v>
      </c>
      <c r="AL54" s="200" t="s">
        <v>72</v>
      </c>
      <c r="AM54" s="200" t="s">
        <v>77</v>
      </c>
      <c r="AN54" s="200" t="s">
        <v>95</v>
      </c>
      <c r="AO54" s="201" t="s">
        <v>72</v>
      </c>
      <c r="AP54" s="202"/>
      <c r="AQ54" s="202"/>
    </row>
    <row r="55" spans="1:45" ht="27.75" customHeight="1">
      <c r="N55" s="227" t="s">
        <v>38</v>
      </c>
      <c r="O55" s="203" t="s">
        <v>21</v>
      </c>
      <c r="P55" s="204" t="s">
        <v>21</v>
      </c>
      <c r="Q55" s="205" t="s">
        <v>22</v>
      </c>
      <c r="R55" s="196" t="s">
        <v>66</v>
      </c>
      <c r="AI55" s="206" t="str">
        <f>N56</f>
        <v>大阪ガス株式会社サッカー部</v>
      </c>
      <c r="AJ55" s="207" t="str">
        <f>AI55&amp;AK55</f>
        <v>大阪ガス株式会社サッカー部正</v>
      </c>
      <c r="AK55" s="207" t="s">
        <v>76</v>
      </c>
      <c r="AL55" s="207" t="s">
        <v>87</v>
      </c>
      <c r="AM55" s="207" t="str">
        <f t="shared" ref="AM55:AM61" si="14">AI55&amp;AN55</f>
        <v>大阪ガス株式会社サッカー部正</v>
      </c>
      <c r="AN55" s="207" t="s">
        <v>76</v>
      </c>
      <c r="AO55" s="208" t="s">
        <v>109</v>
      </c>
      <c r="AP55" s="202"/>
      <c r="AQ55" s="202"/>
    </row>
    <row r="56" spans="1:45" ht="27.75" customHeight="1">
      <c r="N56" s="128" t="s">
        <v>103</v>
      </c>
      <c r="O56" s="209">
        <f t="shared" ref="O56:O65" si="15">COUNTIF($O$3:$O$48,N56)</f>
        <v>0</v>
      </c>
      <c r="P56" s="210">
        <f t="shared" ref="P56:P65" si="16">COUNTIF($P$3:$P$48,N56)</f>
        <v>7</v>
      </c>
      <c r="Q56" s="211">
        <f t="shared" ref="Q56:Q65" si="17">COUNTIF($Q$3:$Q$48,N56)</f>
        <v>3</v>
      </c>
      <c r="R56" s="196"/>
      <c r="X56" s="84">
        <f>SUM(O56:P56)</f>
        <v>7</v>
      </c>
      <c r="AI56" s="212" t="str">
        <f>N56</f>
        <v>大阪ガス株式会社サッカー部</v>
      </c>
      <c r="AJ56" s="213" t="str">
        <f>AI56&amp;AK56</f>
        <v>大阪ガス株式会社サッカー部副</v>
      </c>
      <c r="AK56" s="213" t="s">
        <v>42</v>
      </c>
      <c r="AL56" s="213" t="s">
        <v>85</v>
      </c>
      <c r="AM56" s="213" t="str">
        <f t="shared" si="14"/>
        <v>大阪ガス株式会社サッカー部副</v>
      </c>
      <c r="AN56" s="213" t="s">
        <v>42</v>
      </c>
      <c r="AO56" s="214" t="s">
        <v>114</v>
      </c>
      <c r="AP56" s="202"/>
      <c r="AQ56" s="202"/>
    </row>
    <row r="57" spans="1:45" ht="27.75" customHeight="1">
      <c r="N57" s="155" t="s">
        <v>98</v>
      </c>
      <c r="O57" s="215">
        <f t="shared" si="15"/>
        <v>1</v>
      </c>
      <c r="P57" s="216">
        <f t="shared" si="16"/>
        <v>8</v>
      </c>
      <c r="Q57" s="217">
        <f t="shared" si="17"/>
        <v>4</v>
      </c>
      <c r="R57" s="196"/>
      <c r="X57" s="84">
        <f t="shared" ref="X57:X65" si="18">SUM(O57:P57)</f>
        <v>9</v>
      </c>
      <c r="AI57" s="206" t="str">
        <f>N57</f>
        <v>阪南FC</v>
      </c>
      <c r="AJ57" s="207" t="str">
        <f t="shared" ref="AJ57:AJ74" si="19">AI57&amp;AK57</f>
        <v>阪南FC正</v>
      </c>
      <c r="AK57" s="207" t="s">
        <v>76</v>
      </c>
      <c r="AL57" s="207" t="s">
        <v>87</v>
      </c>
      <c r="AM57" s="207" t="str">
        <f t="shared" si="14"/>
        <v>阪南FC正</v>
      </c>
      <c r="AN57" s="207" t="s">
        <v>76</v>
      </c>
      <c r="AO57" s="208" t="s">
        <v>109</v>
      </c>
      <c r="AP57" s="202"/>
      <c r="AQ57" s="202"/>
    </row>
    <row r="58" spans="1:45" ht="27.75" customHeight="1">
      <c r="N58" s="155" t="s">
        <v>104</v>
      </c>
      <c r="O58" s="215">
        <f t="shared" si="15"/>
        <v>1</v>
      </c>
      <c r="P58" s="216">
        <f t="shared" si="16"/>
        <v>6</v>
      </c>
      <c r="Q58" s="217">
        <f t="shared" si="17"/>
        <v>4</v>
      </c>
      <c r="R58" s="196"/>
      <c r="X58" s="84">
        <f t="shared" si="18"/>
        <v>7</v>
      </c>
      <c r="AI58" s="212" t="str">
        <f>N57</f>
        <v>阪南FC</v>
      </c>
      <c r="AJ58" s="213" t="str">
        <f t="shared" si="19"/>
        <v>阪南FC副</v>
      </c>
      <c r="AK58" s="213" t="s">
        <v>42</v>
      </c>
      <c r="AL58" s="213" t="s">
        <v>85</v>
      </c>
      <c r="AM58" s="213" t="str">
        <f t="shared" si="14"/>
        <v>阪南FC副</v>
      </c>
      <c r="AN58" s="213" t="s">
        <v>42</v>
      </c>
      <c r="AO58" s="214" t="s">
        <v>110</v>
      </c>
      <c r="AP58" s="202"/>
      <c r="AQ58" s="202"/>
    </row>
    <row r="59" spans="1:45" ht="27.75" customHeight="1">
      <c r="N59" s="155" t="s">
        <v>102</v>
      </c>
      <c r="O59" s="215">
        <f t="shared" si="15"/>
        <v>3</v>
      </c>
      <c r="P59" s="216">
        <f t="shared" si="16"/>
        <v>4</v>
      </c>
      <c r="Q59" s="217">
        <f t="shared" si="17"/>
        <v>3</v>
      </c>
      <c r="R59" s="196"/>
      <c r="X59" s="84">
        <f t="shared" si="18"/>
        <v>7</v>
      </c>
      <c r="AI59" s="206" t="str">
        <f>N58</f>
        <v>パナソニックES社サッカー部</v>
      </c>
      <c r="AJ59" s="207" t="str">
        <f t="shared" si="19"/>
        <v>パナソニックES社サッカー部正</v>
      </c>
      <c r="AK59" s="207" t="s">
        <v>76</v>
      </c>
      <c r="AL59" s="207" t="s">
        <v>87</v>
      </c>
      <c r="AM59" s="207" t="str">
        <f t="shared" si="14"/>
        <v>パナソニックES社サッカー部正</v>
      </c>
      <c r="AN59" s="207" t="s">
        <v>76</v>
      </c>
      <c r="AO59" s="228" t="s">
        <v>182</v>
      </c>
      <c r="AP59" s="202"/>
      <c r="AQ59" s="202"/>
      <c r="AS59" s="228" t="s">
        <v>92</v>
      </c>
    </row>
    <row r="60" spans="1:45" ht="27.75" customHeight="1">
      <c r="N60" s="155" t="s">
        <v>68</v>
      </c>
      <c r="O60" s="215">
        <f t="shared" si="15"/>
        <v>4</v>
      </c>
      <c r="P60" s="216">
        <f t="shared" si="16"/>
        <v>5</v>
      </c>
      <c r="Q60" s="217">
        <f t="shared" si="17"/>
        <v>7</v>
      </c>
      <c r="R60" s="196"/>
      <c r="X60" s="84">
        <f t="shared" si="18"/>
        <v>9</v>
      </c>
      <c r="AI60" s="212" t="str">
        <f>N58</f>
        <v>パナソニックES社サッカー部</v>
      </c>
      <c r="AJ60" s="213" t="str">
        <f t="shared" si="19"/>
        <v>パナソニックES社サッカー部副</v>
      </c>
      <c r="AK60" s="213" t="s">
        <v>42</v>
      </c>
      <c r="AL60" s="213" t="s">
        <v>85</v>
      </c>
      <c r="AM60" s="213" t="str">
        <f t="shared" si="14"/>
        <v>パナソニックES社サッカー部副</v>
      </c>
      <c r="AN60" s="213" t="s">
        <v>42</v>
      </c>
      <c r="AO60" s="229" t="s">
        <v>183</v>
      </c>
      <c r="AP60" s="202"/>
      <c r="AQ60" s="202"/>
      <c r="AS60" s="229" t="s">
        <v>89</v>
      </c>
    </row>
    <row r="61" spans="1:45" ht="27.75" customHeight="1">
      <c r="N61" s="155" t="s">
        <v>79</v>
      </c>
      <c r="O61" s="215">
        <f t="shared" si="15"/>
        <v>3</v>
      </c>
      <c r="P61" s="216">
        <f t="shared" si="16"/>
        <v>4</v>
      </c>
      <c r="Q61" s="217">
        <f t="shared" si="17"/>
        <v>3</v>
      </c>
      <c r="R61" s="196"/>
      <c r="X61" s="84">
        <f t="shared" si="18"/>
        <v>7</v>
      </c>
      <c r="AI61" s="206" t="str">
        <f>N59</f>
        <v>枚方フットボールクラブ</v>
      </c>
      <c r="AJ61" s="207" t="str">
        <f t="shared" si="19"/>
        <v>枚方フットボールクラブ正</v>
      </c>
      <c r="AK61" s="207" t="s">
        <v>76</v>
      </c>
      <c r="AL61" s="207" t="s">
        <v>122</v>
      </c>
      <c r="AM61" s="207" t="str">
        <f t="shared" si="14"/>
        <v>枚方フットボールクラブ正</v>
      </c>
      <c r="AN61" s="207" t="s">
        <v>76</v>
      </c>
      <c r="AO61" s="208" t="s">
        <v>111</v>
      </c>
      <c r="AP61" s="202"/>
      <c r="AQ61" s="202"/>
    </row>
    <row r="62" spans="1:45" ht="27.75" customHeight="1">
      <c r="N62" s="155" t="s">
        <v>99</v>
      </c>
      <c r="O62" s="215">
        <f t="shared" si="15"/>
        <v>6</v>
      </c>
      <c r="P62" s="216">
        <f t="shared" si="16"/>
        <v>3</v>
      </c>
      <c r="Q62" s="217">
        <f t="shared" si="17"/>
        <v>5</v>
      </c>
      <c r="R62" s="196"/>
      <c r="X62" s="84">
        <f t="shared" si="18"/>
        <v>9</v>
      </c>
      <c r="AI62" s="212" t="str">
        <f>N59</f>
        <v>枚方フットボールクラブ</v>
      </c>
      <c r="AJ62" s="213" t="str">
        <f t="shared" si="19"/>
        <v>枚方フットボールクラブ副</v>
      </c>
      <c r="AK62" s="213" t="s">
        <v>42</v>
      </c>
      <c r="AL62" s="213" t="s">
        <v>123</v>
      </c>
      <c r="AM62" s="213" t="str">
        <f>AI62&amp;AN62</f>
        <v>枚方フットボールクラブ副</v>
      </c>
      <c r="AN62" s="213" t="s">
        <v>42</v>
      </c>
      <c r="AO62" s="214" t="s">
        <v>84</v>
      </c>
      <c r="AP62" s="202"/>
      <c r="AQ62" s="202"/>
    </row>
    <row r="63" spans="1:45" ht="27.75" customHeight="1">
      <c r="N63" s="155" t="s">
        <v>100</v>
      </c>
      <c r="O63" s="215">
        <f t="shared" si="15"/>
        <v>6</v>
      </c>
      <c r="P63" s="216">
        <f t="shared" si="16"/>
        <v>2</v>
      </c>
      <c r="Q63" s="217">
        <f t="shared" si="17"/>
        <v>5</v>
      </c>
      <c r="R63" s="196"/>
      <c r="X63" s="84">
        <f t="shared" si="18"/>
        <v>8</v>
      </c>
      <c r="AI63" s="206" t="str">
        <f>N60</f>
        <v>大阪教員クラブ</v>
      </c>
      <c r="AJ63" s="207" t="str">
        <f t="shared" si="19"/>
        <v>大阪教員クラブ正</v>
      </c>
      <c r="AK63" s="207" t="s">
        <v>76</v>
      </c>
      <c r="AL63" s="207" t="s">
        <v>87</v>
      </c>
      <c r="AM63" s="207" t="str">
        <f>AI63&amp;AN63</f>
        <v>大阪教員クラブ正</v>
      </c>
      <c r="AN63" s="207" t="s">
        <v>76</v>
      </c>
      <c r="AO63" s="208" t="s">
        <v>92</v>
      </c>
      <c r="AP63" s="202"/>
      <c r="AQ63" s="202"/>
    </row>
    <row r="64" spans="1:45" ht="27.75" customHeight="1">
      <c r="N64" s="155" t="s">
        <v>105</v>
      </c>
      <c r="O64" s="215">
        <f t="shared" si="15"/>
        <v>7</v>
      </c>
      <c r="P64" s="216">
        <f t="shared" si="16"/>
        <v>1</v>
      </c>
      <c r="Q64" s="217">
        <f t="shared" si="17"/>
        <v>4</v>
      </c>
      <c r="R64" s="196"/>
      <c r="X64" s="84">
        <f t="shared" si="18"/>
        <v>8</v>
      </c>
      <c r="AI64" s="212" t="str">
        <f>N60</f>
        <v>大阪教員クラブ</v>
      </c>
      <c r="AJ64" s="213" t="str">
        <f t="shared" si="19"/>
        <v>大阪教員クラブ副</v>
      </c>
      <c r="AK64" s="213" t="s">
        <v>42</v>
      </c>
      <c r="AL64" s="213" t="s">
        <v>85</v>
      </c>
      <c r="AM64" s="213" t="str">
        <f t="shared" ref="AM64:AM74" si="20">AI64&amp;AN64</f>
        <v>大阪教員クラブ副</v>
      </c>
      <c r="AN64" s="213" t="s">
        <v>42</v>
      </c>
      <c r="AO64" s="214" t="s">
        <v>91</v>
      </c>
      <c r="AP64" s="202"/>
      <c r="AQ64" s="202"/>
    </row>
    <row r="65" spans="3:43" ht="27.75" customHeight="1">
      <c r="C65" s="84"/>
      <c r="E65" s="84"/>
      <c r="N65" s="218" t="s">
        <v>101</v>
      </c>
      <c r="O65" s="219">
        <f t="shared" si="15"/>
        <v>9</v>
      </c>
      <c r="P65" s="220">
        <f t="shared" si="16"/>
        <v>0</v>
      </c>
      <c r="Q65" s="221">
        <f t="shared" si="17"/>
        <v>5</v>
      </c>
      <c r="R65" s="196"/>
      <c r="X65" s="84">
        <f t="shared" si="18"/>
        <v>9</v>
      </c>
      <c r="AI65" s="206" t="str">
        <f>N61</f>
        <v>カルシオフットボールクラブ</v>
      </c>
      <c r="AJ65" s="207" t="str">
        <f t="shared" si="19"/>
        <v>カルシオフットボールクラブ正</v>
      </c>
      <c r="AK65" s="207" t="s">
        <v>76</v>
      </c>
      <c r="AL65" s="207" t="s">
        <v>87</v>
      </c>
      <c r="AM65" s="207" t="str">
        <f t="shared" si="20"/>
        <v>カルシオフットボールクラブ正</v>
      </c>
      <c r="AN65" s="207" t="s">
        <v>76</v>
      </c>
      <c r="AO65" s="208" t="s">
        <v>88</v>
      </c>
      <c r="AP65" s="202"/>
      <c r="AQ65" s="202"/>
    </row>
    <row r="66" spans="3:43" ht="27.75" customHeight="1">
      <c r="C66" s="84"/>
      <c r="E66" s="84"/>
      <c r="N66" s="227" t="s">
        <v>67</v>
      </c>
      <c r="O66" s="203">
        <f>SUM(O56:O65)</f>
        <v>40</v>
      </c>
      <c r="P66" s="203">
        <f>SUM(P56:P65)</f>
        <v>40</v>
      </c>
      <c r="Q66" s="177">
        <f>SUM(Q56:Q65)</f>
        <v>43</v>
      </c>
      <c r="R66" s="196"/>
      <c r="AI66" s="212" t="str">
        <f>N61</f>
        <v>カルシオフットボールクラブ</v>
      </c>
      <c r="AJ66" s="213" t="str">
        <f t="shared" si="19"/>
        <v>カルシオフットボールクラブ副</v>
      </c>
      <c r="AK66" s="213" t="s">
        <v>42</v>
      </c>
      <c r="AL66" s="213" t="s">
        <v>85</v>
      </c>
      <c r="AM66" s="213" t="str">
        <f t="shared" si="20"/>
        <v>カルシオフットボールクラブ副</v>
      </c>
      <c r="AN66" s="213" t="s">
        <v>42</v>
      </c>
      <c r="AO66" s="214" t="s">
        <v>86</v>
      </c>
      <c r="AP66" s="202"/>
      <c r="AQ66" s="202"/>
    </row>
    <row r="67" spans="3:43" ht="27.75" customHeight="1">
      <c r="C67" s="84"/>
      <c r="E67" s="84"/>
      <c r="AI67" s="206" t="str">
        <f>N62</f>
        <v>BTMU</v>
      </c>
      <c r="AJ67" s="207" t="str">
        <f t="shared" si="19"/>
        <v>BTMU正</v>
      </c>
      <c r="AK67" s="207" t="s">
        <v>76</v>
      </c>
      <c r="AL67" s="207" t="s">
        <v>90</v>
      </c>
      <c r="AM67" s="207" t="str">
        <f t="shared" si="20"/>
        <v>BTMU正</v>
      </c>
      <c r="AN67" s="207" t="s">
        <v>76</v>
      </c>
      <c r="AO67" s="208" t="s">
        <v>111</v>
      </c>
      <c r="AP67" s="202"/>
      <c r="AQ67" s="202"/>
    </row>
    <row r="68" spans="3:43" ht="27.75" customHeight="1">
      <c r="C68" s="84"/>
      <c r="E68" s="84"/>
      <c r="AI68" s="212" t="str">
        <f>N62</f>
        <v>BTMU</v>
      </c>
      <c r="AJ68" s="213" t="str">
        <f t="shared" si="19"/>
        <v>BTMU副</v>
      </c>
      <c r="AK68" s="213" t="s">
        <v>42</v>
      </c>
      <c r="AL68" s="213" t="s">
        <v>85</v>
      </c>
      <c r="AM68" s="213" t="str">
        <f t="shared" si="20"/>
        <v>BTMU副</v>
      </c>
      <c r="AN68" s="213" t="s">
        <v>42</v>
      </c>
      <c r="AO68" s="214" t="s">
        <v>109</v>
      </c>
      <c r="AP68" s="202"/>
      <c r="AQ68" s="202"/>
    </row>
    <row r="69" spans="3:43" ht="27.75" customHeight="1">
      <c r="C69" s="84"/>
      <c r="E69" s="84"/>
      <c r="AI69" s="206" t="str">
        <f>N63</f>
        <v>OKFC2011</v>
      </c>
      <c r="AJ69" s="207" t="str">
        <f t="shared" si="19"/>
        <v>OKFC2011正</v>
      </c>
      <c r="AK69" s="207" t="s">
        <v>76</v>
      </c>
      <c r="AL69" s="207" t="s">
        <v>112</v>
      </c>
      <c r="AM69" s="207" t="str">
        <f t="shared" si="20"/>
        <v>OKFC2011正</v>
      </c>
      <c r="AN69" s="207" t="s">
        <v>76</v>
      </c>
      <c r="AO69" s="214" t="s">
        <v>109</v>
      </c>
      <c r="AP69" s="202"/>
      <c r="AQ69" s="202"/>
    </row>
    <row r="70" spans="3:43" ht="27.75" customHeight="1">
      <c r="C70" s="84"/>
      <c r="E70" s="84"/>
      <c r="AI70" s="212" t="str">
        <f>N63</f>
        <v>OKFC2011</v>
      </c>
      <c r="AJ70" s="213" t="str">
        <f t="shared" si="19"/>
        <v>OKFC2011副</v>
      </c>
      <c r="AK70" s="213" t="s">
        <v>42</v>
      </c>
      <c r="AL70" s="213" t="s">
        <v>113</v>
      </c>
      <c r="AM70" s="213" t="str">
        <f t="shared" si="20"/>
        <v>OKFC2011副</v>
      </c>
      <c r="AN70" s="213" t="s">
        <v>42</v>
      </c>
      <c r="AO70" s="208" t="s">
        <v>89</v>
      </c>
      <c r="AP70" s="202"/>
      <c r="AQ70" s="202"/>
    </row>
    <row r="71" spans="3:43" ht="27.75" customHeight="1">
      <c r="C71" s="84"/>
      <c r="E71" s="84"/>
      <c r="AI71" s="206" t="str">
        <f>N64</f>
        <v>エルマーノ大阪サッカークラブ</v>
      </c>
      <c r="AJ71" s="207" t="str">
        <f t="shared" si="19"/>
        <v>エルマーノ大阪サッカークラブ正</v>
      </c>
      <c r="AK71" s="207" t="s">
        <v>76</v>
      </c>
      <c r="AL71" s="207" t="s">
        <v>119</v>
      </c>
      <c r="AM71" s="207" t="str">
        <f t="shared" si="20"/>
        <v>エルマーノ大阪サッカークラブ正</v>
      </c>
      <c r="AN71" s="207" t="s">
        <v>76</v>
      </c>
      <c r="AO71" s="208" t="s">
        <v>120</v>
      </c>
      <c r="AP71" s="202"/>
      <c r="AQ71" s="202"/>
    </row>
    <row r="72" spans="3:43" ht="27.75" customHeight="1">
      <c r="C72" s="84"/>
      <c r="E72" s="84"/>
      <c r="AI72" s="212" t="str">
        <f>N64</f>
        <v>エルマーノ大阪サッカークラブ</v>
      </c>
      <c r="AJ72" s="213" t="str">
        <f t="shared" si="19"/>
        <v>エルマーノ大阪サッカークラブ副</v>
      </c>
      <c r="AK72" s="213" t="s">
        <v>42</v>
      </c>
      <c r="AL72" s="213" t="s">
        <v>85</v>
      </c>
      <c r="AM72" s="213" t="str">
        <f t="shared" si="20"/>
        <v>エルマーノ大阪サッカークラブ副</v>
      </c>
      <c r="AN72" s="213" t="s">
        <v>42</v>
      </c>
      <c r="AO72" s="214" t="s">
        <v>121</v>
      </c>
      <c r="AP72" s="202"/>
      <c r="AQ72" s="202"/>
    </row>
    <row r="73" spans="3:43" ht="27.75" customHeight="1">
      <c r="C73" s="84"/>
      <c r="E73" s="84"/>
      <c r="AI73" s="206" t="str">
        <f>N65</f>
        <v>FCボニート</v>
      </c>
      <c r="AJ73" s="207" t="str">
        <f t="shared" si="19"/>
        <v>FCボニート正</v>
      </c>
      <c r="AK73" s="207" t="s">
        <v>76</v>
      </c>
      <c r="AL73" s="207" t="s">
        <v>115</v>
      </c>
      <c r="AM73" s="207" t="str">
        <f t="shared" si="20"/>
        <v>FCボニート正</v>
      </c>
      <c r="AN73" s="207" t="s">
        <v>76</v>
      </c>
      <c r="AO73" s="208" t="s">
        <v>117</v>
      </c>
      <c r="AP73" s="202"/>
      <c r="AQ73" s="202"/>
    </row>
    <row r="74" spans="3:43" ht="27.75" customHeight="1">
      <c r="C74" s="84"/>
      <c r="E74" s="84"/>
      <c r="AI74" s="212" t="str">
        <f>N65</f>
        <v>FCボニート</v>
      </c>
      <c r="AJ74" s="213" t="str">
        <f t="shared" si="19"/>
        <v>FCボニート副</v>
      </c>
      <c r="AK74" s="213" t="s">
        <v>42</v>
      </c>
      <c r="AL74" s="213" t="s">
        <v>116</v>
      </c>
      <c r="AM74" s="213" t="str">
        <f t="shared" si="20"/>
        <v>FCボニート副</v>
      </c>
      <c r="AN74" s="213" t="s">
        <v>42</v>
      </c>
      <c r="AO74" s="214" t="s">
        <v>118</v>
      </c>
      <c r="AP74" s="202"/>
      <c r="AQ74" s="202"/>
    </row>
  </sheetData>
  <sheetProtection formatColumns="0" formatRows="0"/>
  <sortState ref="A3:AU47">
    <sortCondition ref="G3:G47"/>
    <sortCondition ref="I3:I47"/>
    <sortCondition descending="1" ref="H3:H47"/>
    <sortCondition ref="B3:B47"/>
  </sortState>
  <mergeCells count="7">
    <mergeCell ref="X1:AG1"/>
    <mergeCell ref="A48:A51"/>
    <mergeCell ref="P1:Q1"/>
    <mergeCell ref="C2:D2"/>
    <mergeCell ref="E2:F2"/>
    <mergeCell ref="J2:N2"/>
    <mergeCell ref="B1:N1"/>
  </mergeCells>
  <phoneticPr fontId="3"/>
  <conditionalFormatting sqref="J3:AG47">
    <cfRule type="cellIs" dxfId="8" priority="1" stopIfTrue="1" operator="equal">
      <formula>$A$1</formula>
    </cfRule>
  </conditionalFormatting>
  <dataValidations count="4">
    <dataValidation type="list" allowBlank="1" showInputMessage="1" sqref="AC3:AC47 X3:X47 O3:Q47">
      <formula1>$N$56:$N$65</formula1>
    </dataValidation>
    <dataValidation type="list" allowBlank="1" showInputMessage="1" sqref="A1">
      <formula1>$N$55:$N$65</formula1>
    </dataValidation>
    <dataValidation allowBlank="1" showInputMessage="1" sqref="AG3:AG47 AE3:AE47 Z3:Z47 AB3:AB47"/>
    <dataValidation type="list" allowBlank="1" showInputMessage="1" sqref="AA3:AA47 Y3:Y47 AF3:AF47 AD3:AD47">
      <formula1>"正,副,　"</formula1>
    </dataValidation>
  </dataValidations>
  <printOptions horizontalCentered="1"/>
  <pageMargins left="0.35433070866141736" right="0.31496062992125984" top="0.39370078740157483" bottom="0.35433070866141736" header="0.27559055118110237" footer="0.23622047244094491"/>
  <pageSetup paperSize="9" scale="5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sheetPr codeName="Sheet6"/>
  <dimension ref="A1:AL56"/>
  <sheetViews>
    <sheetView showGridLines="0" view="pageBreakPreview" zoomScale="85" zoomScaleSheetLayoutView="85" workbookViewId="0">
      <selection activeCell="H3" sqref="H3"/>
    </sheetView>
  </sheetViews>
  <sheetFormatPr defaultRowHeight="14.25"/>
  <cols>
    <col min="1" max="1" width="3.125" style="51" customWidth="1"/>
    <col min="2" max="2" width="13.25" style="51" bestFit="1" customWidth="1"/>
    <col min="3" max="4" width="4.75" style="51" customWidth="1"/>
    <col min="5" max="5" width="3.375" style="51" customWidth="1"/>
    <col min="6" max="7" width="4.75" style="51" customWidth="1"/>
    <col min="8" max="8" width="3.375" style="51" customWidth="1"/>
    <col min="9" max="10" width="4.75" style="51" customWidth="1"/>
    <col min="11" max="11" width="3.375" style="51" customWidth="1"/>
    <col min="12" max="13" width="4.75" style="51" customWidth="1"/>
    <col min="14" max="14" width="3.375" style="51" customWidth="1"/>
    <col min="15" max="16" width="4.75" style="51" customWidth="1"/>
    <col min="17" max="17" width="3.375" style="51" customWidth="1"/>
    <col min="18" max="19" width="4.75" style="51" customWidth="1"/>
    <col min="20" max="20" width="3.375" style="51" customWidth="1"/>
    <col min="21" max="22" width="4.75" style="51" customWidth="1"/>
    <col min="23" max="23" width="3.375" style="51" customWidth="1"/>
    <col min="24" max="25" width="4.75" style="51" customWidth="1"/>
    <col min="26" max="26" width="3.375" style="51" customWidth="1"/>
    <col min="27" max="28" width="4.75" style="51" customWidth="1"/>
    <col min="29" max="29" width="3.375" style="51" customWidth="1"/>
    <col min="30" max="31" width="4.75" style="51" customWidth="1"/>
    <col min="32" max="32" width="3.375" style="51" customWidth="1"/>
    <col min="33" max="33" width="2" style="51" customWidth="1"/>
    <col min="34" max="34" width="4" style="51" bestFit="1" customWidth="1"/>
    <col min="35" max="35" width="5.125" style="51" bestFit="1" customWidth="1"/>
    <col min="36" max="37" width="10.125" style="51" bestFit="1" customWidth="1"/>
    <col min="38" max="38" width="14" style="51" customWidth="1"/>
    <col min="39" max="67" width="3.375" style="51" customWidth="1"/>
    <col min="68" max="16384" width="9" style="51"/>
  </cols>
  <sheetData>
    <row r="1" spans="1:38" ht="18" customHeight="1" thickBot="1">
      <c r="A1" s="48"/>
      <c r="B1" s="394" t="s">
        <v>208</v>
      </c>
      <c r="C1" s="394"/>
      <c r="D1" s="394"/>
      <c r="E1" s="394"/>
      <c r="F1" s="394"/>
      <c r="G1" s="394"/>
      <c r="H1" s="394"/>
      <c r="I1" s="394"/>
      <c r="J1" s="58" t="s">
        <v>108</v>
      </c>
      <c r="K1" s="50" t="s">
        <v>23</v>
      </c>
      <c r="M1" s="49"/>
      <c r="N1" s="49"/>
      <c r="O1" s="49"/>
      <c r="P1" s="75"/>
      <c r="S1" s="77">
        <f ca="1">TODAY()</f>
        <v>43106</v>
      </c>
      <c r="T1" s="53">
        <f ca="1">MONTH(S1)</f>
        <v>1</v>
      </c>
      <c r="U1" s="53" t="s">
        <v>14</v>
      </c>
      <c r="V1" s="53">
        <f ca="1">DAY(S1)</f>
        <v>6</v>
      </c>
      <c r="W1" s="51" t="s">
        <v>18</v>
      </c>
    </row>
    <row r="2" spans="1:38" ht="18" customHeight="1" thickBot="1">
      <c r="A2" s="48"/>
      <c r="B2" s="79"/>
      <c r="C2" s="383" t="str">
        <f>IF(B3="","",B3)</f>
        <v>大阪ガス株式会社サッカー部</v>
      </c>
      <c r="D2" s="383"/>
      <c r="E2" s="383"/>
      <c r="F2" s="392" t="str">
        <f>IF(B7="","",B7)</f>
        <v>阪南FC</v>
      </c>
      <c r="G2" s="383"/>
      <c r="H2" s="383"/>
      <c r="I2" s="392" t="str">
        <f>IF(B11="","",B11)</f>
        <v>パナソニックES社サッカー部</v>
      </c>
      <c r="J2" s="383"/>
      <c r="K2" s="383"/>
      <c r="L2" s="392" t="str">
        <f>IF(B15="","",B15)</f>
        <v>枚方フットボールクラブ</v>
      </c>
      <c r="M2" s="383"/>
      <c r="N2" s="383"/>
      <c r="O2" s="392" t="str">
        <f>IF(B19="","",B19)</f>
        <v>大阪教員クラブ</v>
      </c>
      <c r="P2" s="383"/>
      <c r="Q2" s="391"/>
      <c r="R2" s="383" t="str">
        <f>IF(B23="","",B23)</f>
        <v>カルシオフットボールクラブ</v>
      </c>
      <c r="S2" s="383"/>
      <c r="T2" s="391"/>
      <c r="U2" s="383" t="str">
        <f>IF(B27="","",B27)</f>
        <v>BTMU</v>
      </c>
      <c r="V2" s="383"/>
      <c r="W2" s="391"/>
      <c r="X2" s="387" t="str">
        <f>IF(B31="","",B31)</f>
        <v>OKFC2011</v>
      </c>
      <c r="Y2" s="388"/>
      <c r="Z2" s="389"/>
      <c r="AA2" s="387" t="str">
        <f>IF(B35="","",B35)</f>
        <v>エルマーノ大阪サッカークラブ</v>
      </c>
      <c r="AB2" s="388"/>
      <c r="AC2" s="389"/>
      <c r="AD2" s="383" t="str">
        <f>IF(B39="","",B39)</f>
        <v>FCボニート</v>
      </c>
      <c r="AE2" s="383"/>
      <c r="AF2" s="384"/>
      <c r="AI2" s="83" t="s">
        <v>10</v>
      </c>
      <c r="AJ2" s="83" t="s">
        <v>49</v>
      </c>
      <c r="AK2" s="83" t="s">
        <v>50</v>
      </c>
      <c r="AL2" s="123">
        <f ca="1">YEAR(S1)*10000+T1*100+V1</f>
        <v>20180106</v>
      </c>
    </row>
    <row r="3" spans="1:38" ht="15" customHeight="1">
      <c r="A3" s="364">
        <v>1</v>
      </c>
      <c r="B3" s="395" t="str">
        <f>'Cブロック日程表（結果）'!N56</f>
        <v>大阪ガス株式会社サッカー部</v>
      </c>
      <c r="C3" s="396"/>
      <c r="D3" s="397"/>
      <c r="E3" s="398"/>
      <c r="F3" s="390" t="e">
        <f ca="1">IF(H3="","",VLOOKUP(H3,'Cブロック日程表（結果）'!$B$3:$R$48,17,0))</f>
        <v>#N/A</v>
      </c>
      <c r="G3" s="385"/>
      <c r="H3" s="80" t="str">
        <f ca="1">IF(AJ3="","",IF(AK3&gt;=0,VLOOKUP(1,'Cブロック日程表（結果）'!$B$3:$T$48,19,0),"済"))</f>
        <v>済</v>
      </c>
      <c r="I3" s="390" t="e">
        <f ca="1">IF(K3="","",VLOOKUP(K3,'Cブロック日程表（結果）'!$B$3:$R$48,17,0))</f>
        <v>#N/A</v>
      </c>
      <c r="J3" s="386"/>
      <c r="K3" s="80" t="str">
        <f ca="1">IF(AJ4="","",IF(AK4&gt;=0,VLOOKUP(2,'Cブロック日程表（結果）'!$B$3:$T$48,19,0),"済"))</f>
        <v>済</v>
      </c>
      <c r="L3" s="390" t="e">
        <f ca="1">IF(N3="","",VLOOKUP(N3,'Cブロック日程表（結果）'!$B$3:$R$48,17,0))</f>
        <v>#N/A</v>
      </c>
      <c r="M3" s="386"/>
      <c r="N3" s="80" t="str">
        <f ca="1">IF(AJ6="","",IF(AK6&gt;=0,VLOOKUP(4,'Cブロック日程表（結果）'!$B$3:$T$48,19,0),"済"))</f>
        <v>済</v>
      </c>
      <c r="O3" s="390" t="e">
        <f ca="1">IF(Q3="","",VLOOKUP(Q3,'Cブロック日程表（結果）'!$B$3:$R$48,17,0))</f>
        <v>#N/A</v>
      </c>
      <c r="P3" s="386"/>
      <c r="Q3" s="80" t="str">
        <f ca="1">IF(AJ9="","",IF(AK9&gt;=0,VLOOKUP(7,'Cブロック日程表（結果）'!$B$3:$T$48,19,0),"済"))</f>
        <v>済</v>
      </c>
      <c r="R3" s="390" t="e">
        <f ca="1">IF(T3="","",VLOOKUP(T3,'Cブロック日程表（結果）'!$B$3:$R$48,17,0))</f>
        <v>#N/A</v>
      </c>
      <c r="S3" s="386"/>
      <c r="T3" s="80" t="str">
        <f ca="1">IF(AJ13="","",IF(AK13&gt;=0,VLOOKUP(11,'Cブロック日程表（結果）'!$B$3:$T$48,19,0),"済"))</f>
        <v>済</v>
      </c>
      <c r="U3" s="390" t="e">
        <f ca="1">IF(W3="","",VLOOKUP(W3,'Cブロック日程表（結果）'!$B$3:$R$48,17,0))</f>
        <v>#N/A</v>
      </c>
      <c r="V3" s="386"/>
      <c r="W3" s="80" t="str">
        <f ca="1">IF(AJ18="","",IF(AK18&gt;=0,VLOOKUP(16,'Cブロック日程表（結果）'!$B$3:$T$48,19,0),"済"))</f>
        <v>済</v>
      </c>
      <c r="X3" s="390" t="e">
        <f ca="1">IF(Z3="","",VLOOKUP(Z3,'Cブロック日程表（結果）'!$B$3:$R$48,17,0))</f>
        <v>#N/A</v>
      </c>
      <c r="Y3" s="386"/>
      <c r="Z3" s="80" t="str">
        <f ca="1">IF(AJ24="","",IF(AK24&gt;=0,VLOOKUP(22,'Cブロック日程表（結果）'!$B$3:$T$48,19,0),"済"))</f>
        <v>済</v>
      </c>
      <c r="AA3" s="390" t="e">
        <f ca="1">IF(AC3="","",VLOOKUP(AC3,'Cブロック日程表（結果）'!$B$3:$R$48,17,0))</f>
        <v>#N/A</v>
      </c>
      <c r="AB3" s="386"/>
      <c r="AC3" s="80" t="str">
        <f ca="1">IF(AJ31="","",IF(AK31&gt;=0,VLOOKUP(29,'Cブロック日程表（結果）'!$B$3:$T$48,19,0),"済"))</f>
        <v>済</v>
      </c>
      <c r="AD3" s="385" t="e">
        <f ca="1">IF(AF3="","",VLOOKUP(AF3,'Cブロック日程表（結果）'!$B$3:$R$48,17,0))</f>
        <v>#N/A</v>
      </c>
      <c r="AE3" s="386"/>
      <c r="AF3" s="86" t="str">
        <f ca="1">IF(AJ39="","",IF(AK39&gt;=0,VLOOKUP(37,'Cブロック日程表（結果）'!$B$3:$T$48,19,0),"済"))</f>
        <v>済</v>
      </c>
      <c r="AI3" s="83">
        <v>1</v>
      </c>
      <c r="AJ3" s="83">
        <f>VLOOKUP(AI3,'Cブロック日程表（結果）'!$B$3:$S$53,18,0)</f>
        <v>20170806</v>
      </c>
      <c r="AK3" s="83">
        <f ca="1">IF(AJ3="","",AJ3-$AL$2)</f>
        <v>-9300</v>
      </c>
    </row>
    <row r="4" spans="1:38" ht="15" customHeight="1">
      <c r="A4" s="364"/>
      <c r="B4" s="365"/>
      <c r="C4" s="399"/>
      <c r="D4" s="349"/>
      <c r="E4" s="377"/>
      <c r="F4" s="356" t="e">
        <f ca="1">IF(H3="","",VLOOKUP(H3,'Cブロック日程表（結果）'!$B$3:$R$48,8,0)&amp;" KO"&amp;" ("&amp;VLOOKUP(H3,'Cブロック日程表（結果）'!$B$3:$W$48,22,0)&amp;")")</f>
        <v>#N/A</v>
      </c>
      <c r="G4" s="354"/>
      <c r="H4" s="355"/>
      <c r="I4" s="356" t="e">
        <f ca="1">IF(K3="","",VLOOKUP(K3,'Cブロック日程表（結果）'!$B$3:$R$48,8,0)&amp;" KO"&amp;" ("&amp;VLOOKUP(K3,'Cブロック日程表（結果）'!$B$3:$W$48,22,0)&amp;")")</f>
        <v>#N/A</v>
      </c>
      <c r="J4" s="354"/>
      <c r="K4" s="355"/>
      <c r="L4" s="356" t="e">
        <f ca="1">IF(N3="","",VLOOKUP(N3,'Cブロック日程表（結果）'!$B$3:$R$48,8,0)&amp;" KO"&amp;" ("&amp;VLOOKUP(N3,'Cブロック日程表（結果）'!$B$3:$W$48,22,0)&amp;")")</f>
        <v>#N/A</v>
      </c>
      <c r="M4" s="354"/>
      <c r="N4" s="355"/>
      <c r="O4" s="356" t="e">
        <f ca="1">IF(Q3="","",VLOOKUP(Q3,'Cブロック日程表（結果）'!$B$3:$R$48,8,0)&amp;" KO"&amp;" ("&amp;VLOOKUP(Q3,'Cブロック日程表（結果）'!$B$3:$W$48,22,0)&amp;")")</f>
        <v>#N/A</v>
      </c>
      <c r="P4" s="354"/>
      <c r="Q4" s="355"/>
      <c r="R4" s="356" t="e">
        <f ca="1">IF(T3="","",VLOOKUP(T3,'Cブロック日程表（結果）'!$B$3:$R$48,8,0)&amp;" KO"&amp;" ("&amp;VLOOKUP(T3,'Cブロック日程表（結果）'!$B$3:$W$48,22,0)&amp;")")</f>
        <v>#N/A</v>
      </c>
      <c r="S4" s="354"/>
      <c r="T4" s="355"/>
      <c r="U4" s="356" t="e">
        <f ca="1">IF(W3="","",VLOOKUP(W3,'Cブロック日程表（結果）'!$B$3:$R$48,8,0)&amp;" KO"&amp;" ("&amp;VLOOKUP(W3,'Cブロック日程表（結果）'!$B$3:$W$48,22,0)&amp;")")</f>
        <v>#N/A</v>
      </c>
      <c r="V4" s="354"/>
      <c r="W4" s="355"/>
      <c r="X4" s="356" t="e">
        <f ca="1">IF(Z3="","",VLOOKUP(Z3,'Cブロック日程表（結果）'!$B$3:$R$48,8,0)&amp;" KO"&amp;" ("&amp;VLOOKUP(Z3,'Cブロック日程表（結果）'!$B$3:$W$48,22,0)&amp;")")</f>
        <v>#N/A</v>
      </c>
      <c r="Y4" s="354"/>
      <c r="Z4" s="355"/>
      <c r="AA4" s="356" t="e">
        <f ca="1">IF(AC3="","",VLOOKUP(AC3,'Cブロック日程表（結果）'!$B$3:$R$48,8,0)&amp;" KO"&amp;" ("&amp;VLOOKUP(AC3,'Cブロック日程表（結果）'!$B$3:$W$48,22,0)&amp;")")</f>
        <v>#N/A</v>
      </c>
      <c r="AB4" s="354"/>
      <c r="AC4" s="355"/>
      <c r="AD4" s="354" t="e">
        <f ca="1">IF(AF3="","",VLOOKUP(AF3,'Cブロック日程表（結果）'!$B$3:$R$48,8,0)&amp;" KO"&amp;" ("&amp;VLOOKUP(AF3,'Cブロック日程表（結果）'!$B$3:$W$48,22,0)&amp;")")</f>
        <v>#N/A</v>
      </c>
      <c r="AE4" s="354"/>
      <c r="AF4" s="381"/>
      <c r="AI4" s="83">
        <v>2</v>
      </c>
      <c r="AJ4" s="83">
        <f>VLOOKUP(AI4,'Cブロック日程表（結果）'!$B$3:$S$53,18,0)</f>
        <v>20171119</v>
      </c>
      <c r="AK4" s="83">
        <f t="shared" ref="AK4:AK47" ca="1" si="0">IF(AJ4="","",AJ4-$AL$2)</f>
        <v>-8987</v>
      </c>
    </row>
    <row r="5" spans="1:38" ht="15" customHeight="1">
      <c r="A5" s="364"/>
      <c r="B5" s="365"/>
      <c r="C5" s="399"/>
      <c r="D5" s="349"/>
      <c r="E5" s="377"/>
      <c r="F5" s="356" t="e">
        <f ca="1">IF(H3="","",VLOOKUP(H3,'Cブロック日程表（結果）'!$B$3:$R$48,7,0))</f>
        <v>#N/A</v>
      </c>
      <c r="G5" s="354"/>
      <c r="H5" s="355"/>
      <c r="I5" s="356" t="e">
        <f ca="1">IF(K3="","",VLOOKUP(K3,'Cブロック日程表（結果）'!$B$3:$R$48,7,0))</f>
        <v>#N/A</v>
      </c>
      <c r="J5" s="354"/>
      <c r="K5" s="355"/>
      <c r="L5" s="356" t="e">
        <f ca="1">IF(N3="","",VLOOKUP(N3,'Cブロック日程表（結果）'!$B$3:$R$48,7,0))</f>
        <v>#N/A</v>
      </c>
      <c r="M5" s="354"/>
      <c r="N5" s="355"/>
      <c r="O5" s="356" t="e">
        <f ca="1">IF(Q3="","",VLOOKUP(Q3,'Cブロック日程表（結果）'!$B$3:$R$48,7,0))</f>
        <v>#N/A</v>
      </c>
      <c r="P5" s="354"/>
      <c r="Q5" s="355"/>
      <c r="R5" s="356" t="e">
        <f ca="1">IF(T3="","",VLOOKUP(T3,'Cブロック日程表（結果）'!$B$3:$R$48,7,0))</f>
        <v>#N/A</v>
      </c>
      <c r="S5" s="354"/>
      <c r="T5" s="355"/>
      <c r="U5" s="356" t="e">
        <f ca="1">IF(W3="","",VLOOKUP(W3,'Cブロック日程表（結果）'!$B$3:$R$48,7,0))</f>
        <v>#N/A</v>
      </c>
      <c r="V5" s="354"/>
      <c r="W5" s="355"/>
      <c r="X5" s="356" t="e">
        <f ca="1">IF(Z3="","",VLOOKUP(Z3,'Cブロック日程表（結果）'!$B$3:$R$48,7,0))</f>
        <v>#N/A</v>
      </c>
      <c r="Y5" s="354"/>
      <c r="Z5" s="355"/>
      <c r="AA5" s="356" t="e">
        <f ca="1">IF(AC3="","",VLOOKUP(AC3,'Cブロック日程表（結果）'!$B$3:$R$48,7,0))</f>
        <v>#N/A</v>
      </c>
      <c r="AB5" s="354"/>
      <c r="AC5" s="355"/>
      <c r="AD5" s="354" t="e">
        <f ca="1">IF(AF3="","",VLOOKUP(AF3,'Cブロック日程表（結果）'!$B$3:$R$48,7,0))</f>
        <v>#N/A</v>
      </c>
      <c r="AE5" s="354"/>
      <c r="AF5" s="381"/>
      <c r="AI5" s="83">
        <v>3</v>
      </c>
      <c r="AJ5" s="83">
        <f>VLOOKUP(AI5,'Cブロック日程表（結果）'!$B$3:$S$53,18,0)</f>
        <v>20170611</v>
      </c>
      <c r="AK5" s="83">
        <f t="shared" ca="1" si="0"/>
        <v>-9495</v>
      </c>
    </row>
    <row r="6" spans="1:38" ht="15" customHeight="1">
      <c r="A6" s="364"/>
      <c r="B6" s="365"/>
      <c r="C6" s="400"/>
      <c r="D6" s="379"/>
      <c r="E6" s="380"/>
      <c r="F6" s="361" t="e">
        <f ca="1">IF(H3="","","AR:"&amp;VLOOKUP(H3,'Cブロック日程表（結果）'!$B$3:$W$48,20,0)&amp;" /"&amp;VLOOKUP(H3,'Cブロック日程表（結果）'!$B$3:$W$48,21,0))</f>
        <v>#N/A</v>
      </c>
      <c r="G6" s="362"/>
      <c r="H6" s="363"/>
      <c r="I6" s="361" t="e">
        <f ca="1">IF(K3="","","AR:"&amp;VLOOKUP(K3,'Cブロック日程表（結果）'!$B$3:$W$48,20,0)&amp;" /"&amp;VLOOKUP(K3,'Cブロック日程表（結果）'!$B$3:$W$48,21,0))</f>
        <v>#N/A</v>
      </c>
      <c r="J6" s="362"/>
      <c r="K6" s="363"/>
      <c r="L6" s="361" t="e">
        <f ca="1">IF(N3="","","AR:"&amp;VLOOKUP(N3,'Cブロック日程表（結果）'!$B$3:$W$48,20,0)&amp;" /"&amp;VLOOKUP(N3,'Cブロック日程表（結果）'!$B$3:$W$48,21,0))</f>
        <v>#N/A</v>
      </c>
      <c r="M6" s="362"/>
      <c r="N6" s="363"/>
      <c r="O6" s="361" t="e">
        <f ca="1">IF(Q3="","","AR:"&amp;VLOOKUP(Q3,'Cブロック日程表（結果）'!$B$3:$W$48,20,0)&amp;" /"&amp;VLOOKUP(Q3,'Cブロック日程表（結果）'!$B$3:$W$48,21,0))</f>
        <v>#N/A</v>
      </c>
      <c r="P6" s="362"/>
      <c r="Q6" s="363"/>
      <c r="R6" s="361" t="e">
        <f ca="1">IF(T3="","","AR:"&amp;VLOOKUP(T3,'Cブロック日程表（結果）'!$B$3:$W$48,20,0)&amp;" /"&amp;VLOOKUP(T3,'Cブロック日程表（結果）'!$B$3:$W$48,21,0))</f>
        <v>#N/A</v>
      </c>
      <c r="S6" s="362"/>
      <c r="T6" s="363"/>
      <c r="U6" s="361" t="e">
        <f ca="1">IF(W3="","","AR:"&amp;VLOOKUP(W3,'Cブロック日程表（結果）'!$B$3:$W$48,20,0)&amp;" /"&amp;VLOOKUP(W3,'Cブロック日程表（結果）'!$B$3:$W$48,21,0))</f>
        <v>#N/A</v>
      </c>
      <c r="V6" s="362"/>
      <c r="W6" s="363"/>
      <c r="X6" s="361" t="e">
        <f ca="1">IF(Z3="","","AR:"&amp;VLOOKUP(Z3,'Cブロック日程表（結果）'!$B$3:$W$48,20,0)&amp;" /"&amp;VLOOKUP(Z3,'Cブロック日程表（結果）'!$B$3:$W$48,21,0))</f>
        <v>#N/A</v>
      </c>
      <c r="Y6" s="362"/>
      <c r="Z6" s="363"/>
      <c r="AA6" s="361" t="e">
        <f ca="1">IF(AC3="","","AR:"&amp;VLOOKUP(AC3,'Cブロック日程表（結果）'!$B$3:$W$48,20,0)&amp;" /"&amp;VLOOKUP(AC3,'Cブロック日程表（結果）'!$B$3:$W$48,21,0))</f>
        <v>#N/A</v>
      </c>
      <c r="AB6" s="362"/>
      <c r="AC6" s="363"/>
      <c r="AD6" s="362" t="e">
        <f ca="1">IF(AF3="","","AR:"&amp;VLOOKUP(AF3,'Cブロック日程表（結果）'!$B$3:$W$48,20,0)&amp;" /"&amp;VLOOKUP(AF3,'Cブロック日程表（結果）'!$B$3:$W$48,21,0))</f>
        <v>#N/A</v>
      </c>
      <c r="AE6" s="362"/>
      <c r="AF6" s="382"/>
      <c r="AI6" s="83">
        <v>4</v>
      </c>
      <c r="AJ6" s="83">
        <f>VLOOKUP(AI6,'Cブロック日程表（結果）'!$B$3:$S$53,18,0)</f>
        <v>20170903</v>
      </c>
      <c r="AK6" s="83">
        <f t="shared" ca="1" si="0"/>
        <v>-9203</v>
      </c>
    </row>
    <row r="7" spans="1:38" ht="15" customHeight="1">
      <c r="A7" s="364">
        <v>2</v>
      </c>
      <c r="B7" s="367" t="str">
        <f>'Cブロック日程表（結果）'!N57</f>
        <v>阪南FC</v>
      </c>
      <c r="C7" s="369" t="e">
        <f ca="1">IF(E7="","",VLOOKUP(E7,'Cブロック日程表（結果）'!$B$3:$R$48,17,0))</f>
        <v>#N/A</v>
      </c>
      <c r="D7" s="370"/>
      <c r="E7" s="81" t="str">
        <f ca="1">IF(H3="","",H3)</f>
        <v>済</v>
      </c>
      <c r="F7" s="373"/>
      <c r="G7" s="374"/>
      <c r="H7" s="375"/>
      <c r="I7" s="371" t="e">
        <f ca="1">IF(K7="","",VLOOKUP(K7,'Cブロック日程表（結果）'!$B$3:$R$48,17,0))</f>
        <v>#N/A</v>
      </c>
      <c r="J7" s="370"/>
      <c r="K7" s="81" t="str">
        <f ca="1">IF(AJ5="","",IF(AK5&gt;=0,VLOOKUP(3,'Cブロック日程表（結果）'!$B$3:$T$48,19,0),"済"))</f>
        <v>済</v>
      </c>
      <c r="L7" s="371" t="e">
        <f ca="1">IF(N7="","",VLOOKUP(N7,'Cブロック日程表（結果）'!$B$3:$R$48,17,0))</f>
        <v>#N/A</v>
      </c>
      <c r="M7" s="370"/>
      <c r="N7" s="81" t="str">
        <f ca="1">IF(AJ7="","",IF(AK7&gt;=0,VLOOKUP(5,'Cブロック日程表（結果）'!$B$3:$T$48,19,0),"済"))</f>
        <v>済</v>
      </c>
      <c r="O7" s="371" t="e">
        <f ca="1">IF(Q7="","",VLOOKUP(Q7,'Cブロック日程表（結果）'!$B$3:$R$48,17,0))</f>
        <v>#N/A</v>
      </c>
      <c r="P7" s="370"/>
      <c r="Q7" s="81" t="str">
        <f ca="1">IF(AJ10="","",IF(AK10&gt;=0,VLOOKUP(8,'Cブロック日程表（結果）'!$B$3:$T$48,19,0),"済"))</f>
        <v>済</v>
      </c>
      <c r="R7" s="371" t="e">
        <f ca="1">IF(T7="","",VLOOKUP(T7,'Cブロック日程表（結果）'!$B$3:$R$48,17,0))</f>
        <v>#N/A</v>
      </c>
      <c r="S7" s="370"/>
      <c r="T7" s="81" t="str">
        <f ca="1">IF(AJ14="","",IF(AK14&gt;=0,VLOOKUP(12,'Cブロック日程表（結果）'!$B$3:$T$48,19,0),"済"))</f>
        <v>済</v>
      </c>
      <c r="U7" s="371" t="e">
        <f ca="1">IF(W7="","",VLOOKUP(W7,'Cブロック日程表（結果）'!$B$3:$R$48,17,0))</f>
        <v>#N/A</v>
      </c>
      <c r="V7" s="370"/>
      <c r="W7" s="81" t="str">
        <f ca="1">IF(AJ19="","",IF(AK19&gt;=0,VLOOKUP(17,'Cブロック日程表（結果）'!$B$3:$T$48,19,0),"済"))</f>
        <v>済</v>
      </c>
      <c r="X7" s="371" t="e">
        <f ca="1">IF(Z7="","",VLOOKUP(Z7,'Cブロック日程表（結果）'!$B$3:$R$48,17,0))</f>
        <v>#N/A</v>
      </c>
      <c r="Y7" s="370"/>
      <c r="Z7" s="81" t="str">
        <f ca="1">IF(AJ25="","",IF(AK25&gt;=0,VLOOKUP(23,'Cブロック日程表（結果）'!$B$3:$T$48,19,0),"済"))</f>
        <v>済</v>
      </c>
      <c r="AA7" s="371" t="e">
        <f ca="1">IF(AC7="","",VLOOKUP(AC7,'Cブロック日程表（結果）'!$B$3:$R$48,17,0))</f>
        <v>#N/A</v>
      </c>
      <c r="AB7" s="370"/>
      <c r="AC7" s="81" t="str">
        <f ca="1">IF(AJ32="","",IF(AK32&gt;=0,VLOOKUP(30,'Cブロック日程表（結果）'!$B$3:$T$48,19,0),"済"))</f>
        <v>済</v>
      </c>
      <c r="AD7" s="370" t="e">
        <f ca="1">IF(AF7="","",VLOOKUP(AF7,'Cブロック日程表（結果）'!$B$3:$R$48,17,0))</f>
        <v>#N/A</v>
      </c>
      <c r="AE7" s="370"/>
      <c r="AF7" s="82" t="str">
        <f ca="1">IF(AJ40="","",IF(AK40&gt;=0,VLOOKUP(38,'Cブロック日程表（結果）'!$B$3:$T$48,19,0),"済"))</f>
        <v>済</v>
      </c>
      <c r="AI7" s="83">
        <v>5</v>
      </c>
      <c r="AJ7" s="83">
        <f>VLOOKUP(AI7,'Cブロック日程表（結果）'!$B$3:$S$53,18,0)</f>
        <v>20171105</v>
      </c>
      <c r="AK7" s="83">
        <f t="shared" ca="1" si="0"/>
        <v>-9001</v>
      </c>
    </row>
    <row r="8" spans="1:38" ht="15" customHeight="1">
      <c r="A8" s="364"/>
      <c r="B8" s="365"/>
      <c r="C8" s="353" t="e">
        <f ca="1">IF(E7="","",VLOOKUP(E7,'Cブロック日程表（結果）'!$B$3:$R$48,8,0)&amp;" KO"&amp;" ("&amp;VLOOKUP(E7,'Cブロック日程表（結果）'!$B$3:$W$48,22,0)&amp;")")</f>
        <v>#N/A</v>
      </c>
      <c r="D8" s="354"/>
      <c r="E8" s="355"/>
      <c r="F8" s="376"/>
      <c r="G8" s="349"/>
      <c r="H8" s="377"/>
      <c r="I8" s="356" t="e">
        <f ca="1">IF(K7="","",VLOOKUP(K7,'Cブロック日程表（結果）'!$B$3:$R$48,8,0)&amp;" KO"&amp;" ("&amp;VLOOKUP(K7,'Cブロック日程表（結果）'!$B$3:$W$48,22,0)&amp;")")</f>
        <v>#N/A</v>
      </c>
      <c r="J8" s="354"/>
      <c r="K8" s="355"/>
      <c r="L8" s="356" t="e">
        <f ca="1">IF(N7="","",VLOOKUP(N7,'Cブロック日程表（結果）'!$B$3:$R$48,8,0)&amp;" KO"&amp;" ("&amp;VLOOKUP(N7,'Cブロック日程表（結果）'!$B$3:$W$48,22,0)&amp;")")</f>
        <v>#N/A</v>
      </c>
      <c r="M8" s="354"/>
      <c r="N8" s="355"/>
      <c r="O8" s="356" t="e">
        <f ca="1">IF(Q7="","",VLOOKUP(Q7,'Cブロック日程表（結果）'!$B$3:$R$48,8,0)&amp;" KO"&amp;" ("&amp;VLOOKUP(Q7,'Cブロック日程表（結果）'!$B$3:$W$48,22,0)&amp;")")</f>
        <v>#N/A</v>
      </c>
      <c r="P8" s="354"/>
      <c r="Q8" s="355"/>
      <c r="R8" s="356" t="e">
        <f ca="1">IF(T7="","",VLOOKUP(T7,'Cブロック日程表（結果）'!$B$3:$R$48,8,0)&amp;" KO"&amp;" ("&amp;VLOOKUP(T7,'Cブロック日程表（結果）'!$B$3:$W$48,22,0)&amp;")")</f>
        <v>#N/A</v>
      </c>
      <c r="S8" s="354"/>
      <c r="T8" s="355"/>
      <c r="U8" s="356" t="e">
        <f ca="1">IF(W7="","",VLOOKUP(W7,'Cブロック日程表（結果）'!$B$3:$R$48,8,0)&amp;" KO"&amp;" ("&amp;VLOOKUP(W7,'Cブロック日程表（結果）'!$B$3:$W$48,22,0)&amp;")")</f>
        <v>#N/A</v>
      </c>
      <c r="V8" s="354"/>
      <c r="W8" s="355"/>
      <c r="X8" s="356" t="e">
        <f ca="1">IF(Z7="","",VLOOKUP(Z7,'Cブロック日程表（結果）'!$B$3:$R$48,8,0)&amp;" KO"&amp;" ("&amp;VLOOKUP(Z7,'Cブロック日程表（結果）'!$B$3:$W$48,22,0)&amp;")")</f>
        <v>#N/A</v>
      </c>
      <c r="Y8" s="354"/>
      <c r="Z8" s="355"/>
      <c r="AA8" s="356" t="e">
        <f ca="1">IF(AC7="","",VLOOKUP(AC7,'Cブロック日程表（結果）'!$B$3:$R$48,8,0)&amp;" KO"&amp;" ("&amp;VLOOKUP(AC7,'Cブロック日程表（結果）'!$B$3:$W$48,22,0)&amp;")")</f>
        <v>#N/A</v>
      </c>
      <c r="AB8" s="354"/>
      <c r="AC8" s="355"/>
      <c r="AD8" s="354" t="e">
        <f ca="1">IF(AF7="","",VLOOKUP(AF7,'Cブロック日程表（結果）'!$B$3:$R$48,8,0)&amp;" KO"&amp;" ("&amp;VLOOKUP(AF7,'Cブロック日程表（結果）'!$B$3:$W$48,22,0)&amp;")")</f>
        <v>#N/A</v>
      </c>
      <c r="AE8" s="354"/>
      <c r="AF8" s="381"/>
      <c r="AI8" s="83">
        <v>6</v>
      </c>
      <c r="AJ8" s="83">
        <f>VLOOKUP(AI8,'Cブロック日程表（結果）'!$B$3:$S$53,18,0)</f>
        <v>20171001</v>
      </c>
      <c r="AK8" s="83">
        <f t="shared" ca="1" si="0"/>
        <v>-9105</v>
      </c>
    </row>
    <row r="9" spans="1:38" ht="15" customHeight="1">
      <c r="A9" s="364"/>
      <c r="B9" s="365"/>
      <c r="C9" s="353" t="e">
        <f ca="1">IF(E7="","",VLOOKUP(E7,'Cブロック日程表（結果）'!$B$3:$R$48,7,0))</f>
        <v>#N/A</v>
      </c>
      <c r="D9" s="354"/>
      <c r="E9" s="355"/>
      <c r="F9" s="376"/>
      <c r="G9" s="349"/>
      <c r="H9" s="377"/>
      <c r="I9" s="356" t="e">
        <f ca="1">IF(K7="","",VLOOKUP(K7,'Cブロック日程表（結果）'!$B$3:$R$48,7,0))</f>
        <v>#N/A</v>
      </c>
      <c r="J9" s="354"/>
      <c r="K9" s="355"/>
      <c r="L9" s="356" t="e">
        <f ca="1">IF(N7="","",VLOOKUP(N7,'Cブロック日程表（結果）'!$B$3:$R$48,7,0))</f>
        <v>#N/A</v>
      </c>
      <c r="M9" s="354"/>
      <c r="N9" s="355"/>
      <c r="O9" s="356" t="e">
        <f ca="1">IF(Q7="","",VLOOKUP(Q7,'Cブロック日程表（結果）'!$B$3:$R$48,7,0))</f>
        <v>#N/A</v>
      </c>
      <c r="P9" s="354"/>
      <c r="Q9" s="355"/>
      <c r="R9" s="356" t="e">
        <f ca="1">IF(T7="","",VLOOKUP(T7,'Cブロック日程表（結果）'!$B$3:$R$48,7,0))</f>
        <v>#N/A</v>
      </c>
      <c r="S9" s="354"/>
      <c r="T9" s="355"/>
      <c r="U9" s="356" t="e">
        <f ca="1">IF(W7="","",VLOOKUP(W7,'Cブロック日程表（結果）'!$B$3:$R$48,7,0))</f>
        <v>#N/A</v>
      </c>
      <c r="V9" s="354"/>
      <c r="W9" s="355"/>
      <c r="X9" s="356" t="e">
        <f ca="1">IF(Z7="","",VLOOKUP(Z7,'Cブロック日程表（結果）'!$B$3:$R$48,7,0))</f>
        <v>#N/A</v>
      </c>
      <c r="Y9" s="354"/>
      <c r="Z9" s="355"/>
      <c r="AA9" s="356" t="e">
        <f ca="1">IF(AC7="","",VLOOKUP(AC7,'Cブロック日程表（結果）'!$B$3:$R$48,7,0))</f>
        <v>#N/A</v>
      </c>
      <c r="AB9" s="354"/>
      <c r="AC9" s="355"/>
      <c r="AD9" s="354" t="e">
        <f ca="1">IF(AF7="","",VLOOKUP(AF7,'Cブロック日程表（結果）'!$B$3:$R$48,7,0))</f>
        <v>#N/A</v>
      </c>
      <c r="AE9" s="354"/>
      <c r="AF9" s="381"/>
      <c r="AI9" s="83">
        <v>7</v>
      </c>
      <c r="AJ9" s="83">
        <f>VLOOKUP(AI9,'Cブロック日程表（結果）'!$B$3:$S$53,18,0)</f>
        <v>20170716</v>
      </c>
      <c r="AK9" s="83">
        <f t="shared" ca="1" si="0"/>
        <v>-9390</v>
      </c>
    </row>
    <row r="10" spans="1:38" ht="15" customHeight="1">
      <c r="A10" s="364"/>
      <c r="B10" s="368"/>
      <c r="C10" s="372" t="e">
        <f ca="1">IF(E7="","","AR:"&amp;VLOOKUP(E7,'Cブロック日程表（結果）'!$B$3:$W$48,20,0)&amp;" /"&amp;VLOOKUP(E7,'Cブロック日程表（結果）'!$B$3:$W$48,21,0))</f>
        <v>#N/A</v>
      </c>
      <c r="D10" s="362"/>
      <c r="E10" s="363"/>
      <c r="F10" s="378"/>
      <c r="G10" s="379"/>
      <c r="H10" s="380"/>
      <c r="I10" s="361" t="e">
        <f ca="1">IF(K7="","","AR:"&amp;VLOOKUP(K7,'Cブロック日程表（結果）'!$B$3:$W$48,20,0)&amp;" /"&amp;VLOOKUP(K7,'Cブロック日程表（結果）'!$B$3:$W$48,21,0))</f>
        <v>#N/A</v>
      </c>
      <c r="J10" s="362"/>
      <c r="K10" s="363"/>
      <c r="L10" s="361" t="e">
        <f ca="1">IF(N7="","","AR:"&amp;VLOOKUP(N7,'Cブロック日程表（結果）'!$B$3:$W$48,20,0)&amp;" /"&amp;VLOOKUP(N7,'Cブロック日程表（結果）'!$B$3:$W$48,21,0))</f>
        <v>#N/A</v>
      </c>
      <c r="M10" s="362"/>
      <c r="N10" s="363"/>
      <c r="O10" s="361" t="e">
        <f ca="1">IF(Q7="","","AR:"&amp;VLOOKUP(Q7,'Cブロック日程表（結果）'!$B$3:$W$48,20,0)&amp;" /"&amp;VLOOKUP(Q7,'Cブロック日程表（結果）'!$B$3:$W$48,21,0))</f>
        <v>#N/A</v>
      </c>
      <c r="P10" s="362"/>
      <c r="Q10" s="363"/>
      <c r="R10" s="361" t="e">
        <f ca="1">IF(T7="","","AR:"&amp;VLOOKUP(T7,'Cブロック日程表（結果）'!$B$3:$W$48,20,0)&amp;" /"&amp;VLOOKUP(T7,'Cブロック日程表（結果）'!$B$3:$W$48,21,0))</f>
        <v>#N/A</v>
      </c>
      <c r="S10" s="362"/>
      <c r="T10" s="363"/>
      <c r="U10" s="361" t="e">
        <f ca="1">IF(W7="","","AR:"&amp;VLOOKUP(W7,'Cブロック日程表（結果）'!$B$3:$W$48,20,0)&amp;" /"&amp;VLOOKUP(W7,'Cブロック日程表（結果）'!$B$3:$W$48,21,0))</f>
        <v>#N/A</v>
      </c>
      <c r="V10" s="362"/>
      <c r="W10" s="363"/>
      <c r="X10" s="361" t="e">
        <f ca="1">IF(Z7="","","AR:"&amp;VLOOKUP(Z7,'Cブロック日程表（結果）'!$B$3:$W$48,20,0)&amp;" /"&amp;VLOOKUP(Z7,'Cブロック日程表（結果）'!$B$3:$W$48,21,0))</f>
        <v>#N/A</v>
      </c>
      <c r="Y10" s="362"/>
      <c r="Z10" s="363"/>
      <c r="AA10" s="361" t="e">
        <f ca="1">IF(AC7="","","AR:"&amp;VLOOKUP(AC7,'Cブロック日程表（結果）'!$B$3:$W$48,20,0)&amp;" /"&amp;VLOOKUP(AC7,'Cブロック日程表（結果）'!$B$3:$W$48,21,0))</f>
        <v>#N/A</v>
      </c>
      <c r="AB10" s="362"/>
      <c r="AC10" s="363"/>
      <c r="AD10" s="362" t="e">
        <f ca="1">IF(AF7="","","AR:"&amp;VLOOKUP(AF7,'Cブロック日程表（結果）'!$B$3:$W$48,20,0)&amp;" /"&amp;VLOOKUP(AF7,'Cブロック日程表（結果）'!$B$3:$W$48,21,0))</f>
        <v>#N/A</v>
      </c>
      <c r="AE10" s="362"/>
      <c r="AF10" s="382"/>
      <c r="AI10" s="83">
        <v>8</v>
      </c>
      <c r="AJ10" s="83">
        <f>VLOOKUP(AI10,'Cブロック日程表（結果）'!$B$3:$S$53,18,0)</f>
        <v>20171015</v>
      </c>
      <c r="AK10" s="83">
        <f t="shared" ca="1" si="0"/>
        <v>-9091</v>
      </c>
    </row>
    <row r="11" spans="1:38" ht="15" customHeight="1">
      <c r="A11" s="364">
        <v>3</v>
      </c>
      <c r="B11" s="367" t="str">
        <f>'Cブロック日程表（結果）'!N58</f>
        <v>パナソニックES社サッカー部</v>
      </c>
      <c r="C11" s="369" t="e">
        <f ca="1">IF(E11="","",VLOOKUP(E11,'Cブロック日程表（結果）'!$B$3:$R$48,17,0))</f>
        <v>#N/A</v>
      </c>
      <c r="D11" s="370"/>
      <c r="E11" s="81" t="str">
        <f ca="1">IF(K3="","",K3)</f>
        <v>済</v>
      </c>
      <c r="F11" s="371" t="e">
        <f ca="1">IF(H11="","",VLOOKUP(H11,'Cブロック日程表（結果）'!$B$3:$R$48,17,0))</f>
        <v>#N/A</v>
      </c>
      <c r="G11" s="370"/>
      <c r="H11" s="81" t="str">
        <f ca="1">IF(K7="","",K7)</f>
        <v>済</v>
      </c>
      <c r="I11" s="373"/>
      <c r="J11" s="374"/>
      <c r="K11" s="375"/>
      <c r="L11" s="371" t="e">
        <f ca="1">IF(N11="","",VLOOKUP(N11,'Cブロック日程表（結果）'!$B$3:$R$48,17,0))</f>
        <v>#N/A</v>
      </c>
      <c r="M11" s="370"/>
      <c r="N11" s="81" t="str">
        <f ca="1">IF(AJ8="","",IF(AK8&gt;=0,VLOOKUP(6,'Cブロック日程表（結果）'!$B$3:$T$48,19,0),"済"))</f>
        <v>済</v>
      </c>
      <c r="O11" s="371" t="e">
        <f ca="1">IF(Q11="","",VLOOKUP(Q11,'Cブロック日程表（結果）'!$B$3:$R$48,17,0))</f>
        <v>#N/A</v>
      </c>
      <c r="P11" s="370"/>
      <c r="Q11" s="81" t="str">
        <f ca="1">IF(AJ11="","",IF(AK11&gt;=0,VLOOKUP(9,'Cブロック日程表（結果）'!$B$3:$T$48,19,0),"済"))</f>
        <v>済</v>
      </c>
      <c r="R11" s="371" t="e">
        <f ca="1">IF(T11="","",VLOOKUP(T11,'Cブロック日程表（結果）'!$B$3:$R$48,17,0))</f>
        <v>#N/A</v>
      </c>
      <c r="S11" s="370"/>
      <c r="T11" s="81" t="str">
        <f ca="1">IF(AJ15="","",IF(AK15&gt;=0,VLOOKUP(13,'Cブロック日程表（結果）'!$B$3:$T$48,19,0),"済"))</f>
        <v>済</v>
      </c>
      <c r="U11" s="371" t="e">
        <f ca="1">IF(W11="","",VLOOKUP(W11,'Cブロック日程表（結果）'!$B$3:$R$48,17,0))</f>
        <v>#N/A</v>
      </c>
      <c r="V11" s="370"/>
      <c r="W11" s="81" t="str">
        <f ca="1">IF(AJ20="","",IF(AK20&gt;=0,VLOOKUP(18,'Cブロック日程表（結果）'!$B$3:$T$48,19,0),"済"))</f>
        <v>済</v>
      </c>
      <c r="X11" s="371" t="e">
        <f ca="1">IF(Z11="","",VLOOKUP(Z11,'Cブロック日程表（結果）'!$B$3:$R$48,17,0))</f>
        <v>#N/A</v>
      </c>
      <c r="Y11" s="370"/>
      <c r="Z11" s="81" t="str">
        <f ca="1">IF(AJ26="","",IF(AK26&gt;=0,VLOOKUP(24,'Cブロック日程表（結果）'!$B$3:$T$48,19,0),"済"))</f>
        <v>済</v>
      </c>
      <c r="AA11" s="371" t="e">
        <f ca="1">IF(AC11="","",VLOOKUP(AC11,'Cブロック日程表（結果）'!$B$3:$R$48,17,0))</f>
        <v>#N/A</v>
      </c>
      <c r="AB11" s="370"/>
      <c r="AC11" s="81" t="str">
        <f ca="1">IF(AJ33="","",IF(AK33&gt;=0,VLOOKUP(31,'Cブロック日程表（結果）'!$B$3:$T$48,19,0),"済"))</f>
        <v>済</v>
      </c>
      <c r="AD11" s="370" t="e">
        <f ca="1">IF(AF11="","",VLOOKUP(AF11,'Cブロック日程表（結果）'!$B$3:$R$48,17,0))</f>
        <v>#N/A</v>
      </c>
      <c r="AE11" s="370"/>
      <c r="AF11" s="82" t="str">
        <f ca="1">IF(AJ41="","",IF(AK41&gt;=0,VLOOKUP(39,'Cブロック日程表（結果）'!$B$3:$T$48,19,0),"済"))</f>
        <v>済</v>
      </c>
      <c r="AI11" s="83">
        <v>9</v>
      </c>
      <c r="AJ11" s="83">
        <f>VLOOKUP(AI11,'Cブロック日程表（結果）'!$B$3:$S$53,18,0)</f>
        <v>20170723</v>
      </c>
      <c r="AK11" s="83">
        <f t="shared" ca="1" si="0"/>
        <v>-9383</v>
      </c>
    </row>
    <row r="12" spans="1:38" ht="15" customHeight="1">
      <c r="A12" s="364"/>
      <c r="B12" s="365"/>
      <c r="C12" s="353" t="e">
        <f ca="1">IF(E11="","",VLOOKUP(E11,'Cブロック日程表（結果）'!$B$3:$R$48,8,0)&amp;" KO"&amp;" ("&amp;VLOOKUP(E11,'Cブロック日程表（結果）'!$B$3:$W$48,22,0)&amp;")")</f>
        <v>#N/A</v>
      </c>
      <c r="D12" s="354"/>
      <c r="E12" s="355"/>
      <c r="F12" s="356" t="e">
        <f ca="1">IF(H11="","",VLOOKUP(H11,'Cブロック日程表（結果）'!$B$3:$R$48,8,0)&amp;" KO"&amp;" ("&amp;VLOOKUP(H11,'Cブロック日程表（結果）'!$B$3:$W$48,22,0)&amp;")")</f>
        <v>#N/A</v>
      </c>
      <c r="G12" s="354"/>
      <c r="H12" s="355"/>
      <c r="I12" s="376"/>
      <c r="J12" s="349"/>
      <c r="K12" s="377"/>
      <c r="L12" s="356" t="e">
        <f ca="1">IF(N11="","",VLOOKUP(N11,'Cブロック日程表（結果）'!$B$3:$R$48,8,0)&amp;" KO"&amp;" ("&amp;VLOOKUP(N11,'Cブロック日程表（結果）'!$B$3:$W$48,22,0)&amp;")")</f>
        <v>#N/A</v>
      </c>
      <c r="M12" s="354"/>
      <c r="N12" s="355"/>
      <c r="O12" s="356" t="e">
        <f ca="1">IF(Q11="","",VLOOKUP(Q11,'Cブロック日程表（結果）'!$B$3:$R$48,8,0)&amp;" KO"&amp;" ("&amp;VLOOKUP(Q11,'Cブロック日程表（結果）'!$B$3:$W$48,22,0)&amp;")")</f>
        <v>#N/A</v>
      </c>
      <c r="P12" s="354"/>
      <c r="Q12" s="355"/>
      <c r="R12" s="356" t="e">
        <f ca="1">IF(T11="","",VLOOKUP(T11,'Cブロック日程表（結果）'!$B$3:$R$48,8,0)&amp;" KO"&amp;" ("&amp;VLOOKUP(T11,'Cブロック日程表（結果）'!$B$3:$W$48,22,0)&amp;")")</f>
        <v>#N/A</v>
      </c>
      <c r="S12" s="354"/>
      <c r="T12" s="355"/>
      <c r="U12" s="356" t="e">
        <f ca="1">IF(W11="","",VLOOKUP(W11,'Cブロック日程表（結果）'!$B$3:$R$48,8,0)&amp;" KO"&amp;" ("&amp;VLOOKUP(W11,'Cブロック日程表（結果）'!$B$3:$W$48,22,0)&amp;")")</f>
        <v>#N/A</v>
      </c>
      <c r="V12" s="354"/>
      <c r="W12" s="355"/>
      <c r="X12" s="356" t="e">
        <f ca="1">IF(Z11="","",VLOOKUP(Z11,'Cブロック日程表（結果）'!$B$3:$R$48,8,0)&amp;" KO"&amp;" ("&amp;VLOOKUP(Z11,'Cブロック日程表（結果）'!$B$3:$W$48,22,0)&amp;")")</f>
        <v>#N/A</v>
      </c>
      <c r="Y12" s="354"/>
      <c r="Z12" s="355"/>
      <c r="AA12" s="356" t="e">
        <f ca="1">IF(AC11="","",VLOOKUP(AC11,'Cブロック日程表（結果）'!$B$3:$R$48,8,0)&amp;" KO"&amp;" ("&amp;VLOOKUP(AC11,'Cブロック日程表（結果）'!$B$3:$W$48,22,0)&amp;")")</f>
        <v>#N/A</v>
      </c>
      <c r="AB12" s="354"/>
      <c r="AC12" s="355"/>
      <c r="AD12" s="354" t="e">
        <f ca="1">IF(AF11="","",VLOOKUP(AF11,'Cブロック日程表（結果）'!$B$3:$R$48,8,0)&amp;" KO"&amp;" ("&amp;VLOOKUP(AF11,'Cブロック日程表（結果）'!$B$3:$W$48,22,0)&amp;")")</f>
        <v>#N/A</v>
      </c>
      <c r="AE12" s="354"/>
      <c r="AF12" s="381"/>
      <c r="AI12" s="83">
        <v>10</v>
      </c>
      <c r="AJ12" s="83">
        <f>VLOOKUP(AI12,'Cブロック日程表（結果）'!$B$3:$S$53,18,0)</f>
        <v>20171112</v>
      </c>
      <c r="AK12" s="83">
        <f t="shared" ca="1" si="0"/>
        <v>-8994</v>
      </c>
    </row>
    <row r="13" spans="1:38" ht="15" customHeight="1">
      <c r="A13" s="364"/>
      <c r="B13" s="365"/>
      <c r="C13" s="353" t="e">
        <f ca="1">IF(E11="","",VLOOKUP(E11,'Cブロック日程表（結果）'!$B$3:$R$48,7,0))</f>
        <v>#N/A</v>
      </c>
      <c r="D13" s="354"/>
      <c r="E13" s="355"/>
      <c r="F13" s="356" t="e">
        <f ca="1">IF(H11="","",VLOOKUP(H11,'Cブロック日程表（結果）'!$B$3:$R$48,7,0))</f>
        <v>#N/A</v>
      </c>
      <c r="G13" s="354"/>
      <c r="H13" s="355"/>
      <c r="I13" s="376"/>
      <c r="J13" s="349"/>
      <c r="K13" s="377"/>
      <c r="L13" s="356" t="e">
        <f ca="1">IF(N11="","",VLOOKUP(N11,'Cブロック日程表（結果）'!$B$3:$R$48,7,0))</f>
        <v>#N/A</v>
      </c>
      <c r="M13" s="354"/>
      <c r="N13" s="355"/>
      <c r="O13" s="356" t="e">
        <f ca="1">IF(Q11="","",VLOOKUP(Q11,'Cブロック日程表（結果）'!$B$3:$R$48,7,0))</f>
        <v>#N/A</v>
      </c>
      <c r="P13" s="354"/>
      <c r="Q13" s="355"/>
      <c r="R13" s="356" t="e">
        <f ca="1">IF(T11="","",VLOOKUP(T11,'Cブロック日程表（結果）'!$B$3:$R$48,7,0))</f>
        <v>#N/A</v>
      </c>
      <c r="S13" s="354"/>
      <c r="T13" s="355"/>
      <c r="U13" s="356" t="e">
        <f ca="1">IF(W11="","",VLOOKUP(W11,'Cブロック日程表（結果）'!$B$3:$R$48,7,0))</f>
        <v>#N/A</v>
      </c>
      <c r="V13" s="354"/>
      <c r="W13" s="355"/>
      <c r="X13" s="356" t="e">
        <f ca="1">IF(Z11="","",VLOOKUP(Z11,'Cブロック日程表（結果）'!$B$3:$R$48,7,0))</f>
        <v>#N/A</v>
      </c>
      <c r="Y13" s="354"/>
      <c r="Z13" s="355"/>
      <c r="AA13" s="356" t="e">
        <f ca="1">IF(AC11="","",VLOOKUP(AC11,'Cブロック日程表（結果）'!$B$3:$R$48,7,0))</f>
        <v>#N/A</v>
      </c>
      <c r="AB13" s="354"/>
      <c r="AC13" s="355"/>
      <c r="AD13" s="354" t="e">
        <f ca="1">IF(AF11="","",VLOOKUP(AF11,'Cブロック日程表（結果）'!$B$3:$R$48,7,0))</f>
        <v>#N/A</v>
      </c>
      <c r="AE13" s="354"/>
      <c r="AF13" s="381"/>
      <c r="AI13" s="83">
        <v>11</v>
      </c>
      <c r="AJ13" s="83">
        <f>VLOOKUP(AI13,'Cブロック日程表（結果）'!$B$3:$S$53,18,0)</f>
        <v>20171203</v>
      </c>
      <c r="AK13" s="83">
        <f t="shared" ca="1" si="0"/>
        <v>-8903</v>
      </c>
    </row>
    <row r="14" spans="1:38" ht="15" customHeight="1">
      <c r="A14" s="364"/>
      <c r="B14" s="365"/>
      <c r="C14" s="372" t="e">
        <f ca="1">IF(E11="","","AR:"&amp;VLOOKUP(E11,'Cブロック日程表（結果）'!$B$3:$W$48,20,0)&amp;" /"&amp;VLOOKUP(E11,'Cブロック日程表（結果）'!$B$3:$W$48,21,0))</f>
        <v>#N/A</v>
      </c>
      <c r="D14" s="362"/>
      <c r="E14" s="363"/>
      <c r="F14" s="361" t="e">
        <f ca="1">IF(H11="","","AR:"&amp;VLOOKUP(H11,'Cブロック日程表（結果）'!$B$3:$W$48,20,0)&amp;" /"&amp;VLOOKUP(H11,'Cブロック日程表（結果）'!$B$3:$W$48,21,0))</f>
        <v>#N/A</v>
      </c>
      <c r="G14" s="362"/>
      <c r="H14" s="363"/>
      <c r="I14" s="378"/>
      <c r="J14" s="379"/>
      <c r="K14" s="380"/>
      <c r="L14" s="361" t="e">
        <f ca="1">IF(N11="","","AR:"&amp;VLOOKUP(N11,'Cブロック日程表（結果）'!$B$3:$W$48,20,0)&amp;" /"&amp;VLOOKUP(N11,'Cブロック日程表（結果）'!$B$3:$W$48,21,0))</f>
        <v>#N/A</v>
      </c>
      <c r="M14" s="362"/>
      <c r="N14" s="363"/>
      <c r="O14" s="361" t="e">
        <f ca="1">IF(Q11="","","AR:"&amp;VLOOKUP(Q11,'Cブロック日程表（結果）'!$B$3:$W$48,20,0)&amp;" /"&amp;VLOOKUP(Q11,'Cブロック日程表（結果）'!$B$3:$W$48,21,0))</f>
        <v>#N/A</v>
      </c>
      <c r="P14" s="362"/>
      <c r="Q14" s="363"/>
      <c r="R14" s="361" t="e">
        <f ca="1">IF(T11="","","AR:"&amp;VLOOKUP(T11,'Cブロック日程表（結果）'!$B$3:$W$48,20,0)&amp;" /"&amp;VLOOKUP(T11,'Cブロック日程表（結果）'!$B$3:$W$48,21,0))</f>
        <v>#N/A</v>
      </c>
      <c r="S14" s="362"/>
      <c r="T14" s="363"/>
      <c r="U14" s="361" t="e">
        <f ca="1">IF(W11="","","AR:"&amp;VLOOKUP(W11,'Cブロック日程表（結果）'!$B$3:$W$48,20,0)&amp;" /"&amp;VLOOKUP(W11,'Cブロック日程表（結果）'!$B$3:$W$48,21,0))</f>
        <v>#N/A</v>
      </c>
      <c r="V14" s="362"/>
      <c r="W14" s="363"/>
      <c r="X14" s="361" t="e">
        <f ca="1">IF(Z11="","","AR:"&amp;VLOOKUP(Z11,'Cブロック日程表（結果）'!$B$3:$W$48,20,0)&amp;" /"&amp;VLOOKUP(Z11,'Cブロック日程表（結果）'!$B$3:$W$48,21,0))</f>
        <v>#N/A</v>
      </c>
      <c r="Y14" s="362"/>
      <c r="Z14" s="363"/>
      <c r="AA14" s="361" t="e">
        <f ca="1">IF(AC11="","","AR:"&amp;VLOOKUP(AC11,'Cブロック日程表（結果）'!$B$3:$W$48,20,0)&amp;" /"&amp;VLOOKUP(AC11,'Cブロック日程表（結果）'!$B$3:$W$48,21,0))</f>
        <v>#N/A</v>
      </c>
      <c r="AB14" s="362"/>
      <c r="AC14" s="363"/>
      <c r="AD14" s="362" t="e">
        <f ca="1">IF(AF11="","","AR:"&amp;VLOOKUP(AF11,'Cブロック日程表（結果）'!$B$3:$W$48,20,0)&amp;" /"&amp;VLOOKUP(AF11,'Cブロック日程表（結果）'!$B$3:$W$48,21,0))</f>
        <v>#N/A</v>
      </c>
      <c r="AE14" s="362"/>
      <c r="AF14" s="382"/>
      <c r="AI14" s="83">
        <v>12</v>
      </c>
      <c r="AJ14" s="83">
        <f>VLOOKUP(AI14,'Cブロック日程表（結果）'!$B$3:$S$53,18,0)</f>
        <v>20170924</v>
      </c>
      <c r="AK14" s="83">
        <f t="shared" ca="1" si="0"/>
        <v>-9182</v>
      </c>
    </row>
    <row r="15" spans="1:38" ht="15" customHeight="1">
      <c r="A15" s="364">
        <v>4</v>
      </c>
      <c r="B15" s="367" t="str">
        <f>'Cブロック日程表（結果）'!N59</f>
        <v>枚方フットボールクラブ</v>
      </c>
      <c r="C15" s="369" t="e">
        <f ca="1">IF(E15="","",VLOOKUP(E15,'Cブロック日程表（結果）'!$B$3:$R$48,17,0))</f>
        <v>#N/A</v>
      </c>
      <c r="D15" s="370"/>
      <c r="E15" s="81" t="str">
        <f ca="1">IF(N3="","",N3)</f>
        <v>済</v>
      </c>
      <c r="F15" s="371" t="e">
        <f ca="1">IF(H15="","",VLOOKUP(H15,'Cブロック日程表（結果）'!$B$3:$R$48,17,0))</f>
        <v>#N/A</v>
      </c>
      <c r="G15" s="370"/>
      <c r="H15" s="81" t="str">
        <f ca="1">IF(N7="","",N7)</f>
        <v>済</v>
      </c>
      <c r="I15" s="371" t="e">
        <f ca="1">IF(K15="","",VLOOKUP(K15,'Cブロック日程表（結果）'!$B$3:$R$48,17,0))</f>
        <v>#N/A</v>
      </c>
      <c r="J15" s="370"/>
      <c r="K15" s="81" t="str">
        <f ca="1">IF(N11="","",N11)</f>
        <v>済</v>
      </c>
      <c r="L15" s="373"/>
      <c r="M15" s="374"/>
      <c r="N15" s="375"/>
      <c r="O15" s="371" t="e">
        <f ca="1">IF(Q15="","",VLOOKUP(Q15,'Cブロック日程表（結果）'!$B$3:$R$48,17,0))</f>
        <v>#N/A</v>
      </c>
      <c r="P15" s="370"/>
      <c r="Q15" s="81" t="str">
        <f ca="1">IF(AJ12="","",IF(AK12&gt;=0,VLOOKUP(10,'Cブロック日程表（結果）'!$B$3:$T$48,19,0),"済"))</f>
        <v>済</v>
      </c>
      <c r="R15" s="371" t="e">
        <f ca="1">IF(T15="","",VLOOKUP(T15,'Cブロック日程表（結果）'!$B$3:$R$48,17,0))</f>
        <v>#N/A</v>
      </c>
      <c r="S15" s="370"/>
      <c r="T15" s="81" t="str">
        <f ca="1">IF(AJ16="","",IF(AK16&gt;=0,VLOOKUP(14,'Cブロック日程表（結果）'!$B$3:$T$48,19,0),"済"))</f>
        <v>済</v>
      </c>
      <c r="U15" s="371" t="e">
        <f ca="1">IF(W15="","",VLOOKUP(W15,'Cブロック日程表（結果）'!$B$3:$R$48,17,0))</f>
        <v>#N/A</v>
      </c>
      <c r="V15" s="370"/>
      <c r="W15" s="81" t="str">
        <f ca="1">IF(AJ21="","",IF(AK21&gt;=0,VLOOKUP(19,'Cブロック日程表（結果）'!$B$3:$T$48,19,0),"済"))</f>
        <v>済</v>
      </c>
      <c r="X15" s="371" t="e">
        <f ca="1">IF(Z15="","",VLOOKUP(Z15,'Cブロック日程表（結果）'!$B$3:$R$48,17,0))</f>
        <v>#N/A</v>
      </c>
      <c r="Y15" s="370"/>
      <c r="Z15" s="81" t="str">
        <f ca="1">IF(AJ27="","",IF(AK27&gt;=0,VLOOKUP(25,'Cブロック日程表（結果）'!$B$3:$T$48,19,0),"済"))</f>
        <v>済</v>
      </c>
      <c r="AA15" s="371" t="e">
        <f ca="1">IF(AC15="","",VLOOKUP(AC15,'Cブロック日程表（結果）'!$B$3:$R$48,17,0))</f>
        <v>#N/A</v>
      </c>
      <c r="AB15" s="370"/>
      <c r="AC15" s="81" t="str">
        <f ca="1">IF(AJ34="","",IF(AK34&gt;=0,VLOOKUP(32,'Cブロック日程表（結果）'!$B$3:$T$48,19,0),"済"))</f>
        <v>済</v>
      </c>
      <c r="AD15" s="370" t="e">
        <f ca="1">IF(AF15="","",VLOOKUP(AF15,'Cブロック日程表（結果）'!$B$3:$R$48,17,0))</f>
        <v>#N/A</v>
      </c>
      <c r="AE15" s="370"/>
      <c r="AF15" s="82" t="str">
        <f ca="1">IF(AJ42="","",IF(AK42&gt;=0,VLOOKUP(40,'Cブロック日程表（結果）'!$B$3:$T$48,19,0),"済"))</f>
        <v>済</v>
      </c>
      <c r="AI15" s="83">
        <v>13</v>
      </c>
      <c r="AJ15" s="83">
        <f>VLOOKUP(AI15,'Cブロック日程表（結果）'!$B$3:$S$53,18,0)</f>
        <v>20171105</v>
      </c>
      <c r="AK15" s="83">
        <f t="shared" ca="1" si="0"/>
        <v>-9001</v>
      </c>
    </row>
    <row r="16" spans="1:38" ht="15" customHeight="1">
      <c r="A16" s="364"/>
      <c r="B16" s="365"/>
      <c r="C16" s="353" t="e">
        <f ca="1">IF(E15="","",VLOOKUP(E15,'Cブロック日程表（結果）'!$B$3:$R$48,8,0)&amp;" KO"&amp;" ("&amp;VLOOKUP(E15,'Cブロック日程表（結果）'!$B$3:$W$48,22,0)&amp;")")</f>
        <v>#N/A</v>
      </c>
      <c r="D16" s="354"/>
      <c r="E16" s="355"/>
      <c r="F16" s="356" t="e">
        <f ca="1">IF(H15="","",VLOOKUP(H15,'Cブロック日程表（結果）'!$B$3:$R$48,8,0)&amp;" KO"&amp;" ("&amp;VLOOKUP(H15,'Cブロック日程表（結果）'!$B$3:$W$48,22,0)&amp;")")</f>
        <v>#N/A</v>
      </c>
      <c r="G16" s="354"/>
      <c r="H16" s="355"/>
      <c r="I16" s="356" t="e">
        <f ca="1">IF(K15="","",VLOOKUP(K15,'Cブロック日程表（結果）'!$B$3:$R$48,8,0)&amp;" KO"&amp;" ("&amp;VLOOKUP(K15,'Cブロック日程表（結果）'!$B$3:$W$48,22,0)&amp;")")</f>
        <v>#N/A</v>
      </c>
      <c r="J16" s="354"/>
      <c r="K16" s="355"/>
      <c r="L16" s="376"/>
      <c r="M16" s="349"/>
      <c r="N16" s="377"/>
      <c r="O16" s="356" t="e">
        <f ca="1">IF(Q15="","",VLOOKUP(Q15,'Cブロック日程表（結果）'!$B$3:$R$48,8,0)&amp;" KO"&amp;" ("&amp;VLOOKUP(Q15,'Cブロック日程表（結果）'!$B$3:$W$48,22,0)&amp;")")</f>
        <v>#N/A</v>
      </c>
      <c r="P16" s="354"/>
      <c r="Q16" s="355"/>
      <c r="R16" s="356" t="e">
        <f ca="1">IF(T15="","",VLOOKUP(T15,'Cブロック日程表（結果）'!$B$3:$R$48,8,0)&amp;" KO"&amp;" ("&amp;VLOOKUP(T15,'Cブロック日程表（結果）'!$B$3:$W$48,22,0)&amp;")")</f>
        <v>#N/A</v>
      </c>
      <c r="S16" s="354"/>
      <c r="T16" s="355"/>
      <c r="U16" s="356" t="e">
        <f ca="1">IF(W15="","",VLOOKUP(W15,'Cブロック日程表（結果）'!$B$3:$R$48,8,0)&amp;" KO"&amp;" ("&amp;VLOOKUP(W15,'Cブロック日程表（結果）'!$B$3:$W$48,22,0)&amp;")")</f>
        <v>#N/A</v>
      </c>
      <c r="V16" s="354"/>
      <c r="W16" s="355"/>
      <c r="X16" s="356" t="e">
        <f ca="1">IF(Z15="","",VLOOKUP(Z15,'Cブロック日程表（結果）'!$B$3:$R$48,8,0)&amp;" KO"&amp;" ("&amp;VLOOKUP(Z15,'Cブロック日程表（結果）'!$B$3:$W$48,22,0)&amp;")")</f>
        <v>#N/A</v>
      </c>
      <c r="Y16" s="354"/>
      <c r="Z16" s="355"/>
      <c r="AA16" s="356" t="e">
        <f ca="1">IF(AC15="","",VLOOKUP(AC15,'Cブロック日程表（結果）'!$B$3:$R$48,8,0)&amp;" KO"&amp;" ("&amp;VLOOKUP(AC15,'Cブロック日程表（結果）'!$B$3:$W$48,22,0)&amp;")")</f>
        <v>#N/A</v>
      </c>
      <c r="AB16" s="354"/>
      <c r="AC16" s="355"/>
      <c r="AD16" s="354" t="e">
        <f ca="1">IF(AF15="","",VLOOKUP(AF15,'Cブロック日程表（結果）'!$B$3:$R$48,8,0)&amp;" KO"&amp;" ("&amp;VLOOKUP(AF15,'Cブロック日程表（結果）'!$B$3:$W$48,22,0)&amp;")")</f>
        <v>#N/A</v>
      </c>
      <c r="AE16" s="354"/>
      <c r="AF16" s="381"/>
      <c r="AI16" s="83">
        <v>14</v>
      </c>
      <c r="AJ16" s="83">
        <f>VLOOKUP(AI16,'Cブロック日程表（結果）'!$B$3:$S$53,18,0)</f>
        <v>20170625</v>
      </c>
      <c r="AK16" s="83">
        <f t="shared" ca="1" si="0"/>
        <v>-9481</v>
      </c>
    </row>
    <row r="17" spans="1:37" ht="15" customHeight="1">
      <c r="A17" s="364"/>
      <c r="B17" s="365"/>
      <c r="C17" s="353" t="e">
        <f ca="1">IF(E15="","",VLOOKUP(E15,'Cブロック日程表（結果）'!$B$3:$R$48,7,0))</f>
        <v>#N/A</v>
      </c>
      <c r="D17" s="354"/>
      <c r="E17" s="355"/>
      <c r="F17" s="356" t="e">
        <f ca="1">IF(H15="","",VLOOKUP(H15,'Cブロック日程表（結果）'!$B$3:$R$48,7,0))</f>
        <v>#N/A</v>
      </c>
      <c r="G17" s="354"/>
      <c r="H17" s="355"/>
      <c r="I17" s="356" t="e">
        <f ca="1">IF(K15="","",VLOOKUP(K15,'Cブロック日程表（結果）'!$B$3:$R$48,7,0))</f>
        <v>#N/A</v>
      </c>
      <c r="J17" s="354"/>
      <c r="K17" s="355"/>
      <c r="L17" s="376"/>
      <c r="M17" s="349"/>
      <c r="N17" s="377"/>
      <c r="O17" s="356" t="e">
        <f ca="1">IF(Q15="","",VLOOKUP(Q15,'Cブロック日程表（結果）'!$B$3:$R$48,7,0))</f>
        <v>#N/A</v>
      </c>
      <c r="P17" s="354"/>
      <c r="Q17" s="355"/>
      <c r="R17" s="356" t="e">
        <f ca="1">IF(T15="","",VLOOKUP(T15,'Cブロック日程表（結果）'!$B$3:$R$48,7,0))</f>
        <v>#N/A</v>
      </c>
      <c r="S17" s="354"/>
      <c r="T17" s="355"/>
      <c r="U17" s="356" t="e">
        <f ca="1">IF(W15="","",VLOOKUP(W15,'Cブロック日程表（結果）'!$B$3:$R$48,7,0))</f>
        <v>#N/A</v>
      </c>
      <c r="V17" s="354"/>
      <c r="W17" s="355"/>
      <c r="X17" s="356" t="e">
        <f ca="1">IF(Z15="","",VLOOKUP(Z15,'Cブロック日程表（結果）'!$B$3:$R$48,7,0))</f>
        <v>#N/A</v>
      </c>
      <c r="Y17" s="354"/>
      <c r="Z17" s="355"/>
      <c r="AA17" s="356" t="e">
        <f ca="1">IF(AC15="","",VLOOKUP(AC15,'Cブロック日程表（結果）'!$B$3:$R$48,7,0))</f>
        <v>#N/A</v>
      </c>
      <c r="AB17" s="354"/>
      <c r="AC17" s="355"/>
      <c r="AD17" s="354" t="e">
        <f ca="1">IF(AF15="","",VLOOKUP(AF15,'Cブロック日程表（結果）'!$B$3:$R$48,7,0))</f>
        <v>#N/A</v>
      </c>
      <c r="AE17" s="354"/>
      <c r="AF17" s="381"/>
      <c r="AI17" s="83">
        <v>15</v>
      </c>
      <c r="AJ17" s="83">
        <f>VLOOKUP(AI17,'Cブロック日程表（結果）'!$B$3:$S$53,18,0)</f>
        <v>20171001</v>
      </c>
      <c r="AK17" s="83">
        <f t="shared" ca="1" si="0"/>
        <v>-9105</v>
      </c>
    </row>
    <row r="18" spans="1:37" ht="15" customHeight="1">
      <c r="A18" s="364"/>
      <c r="B18" s="365"/>
      <c r="C18" s="372" t="e">
        <f ca="1">IF(E15="","","AR:"&amp;VLOOKUP(E15,'Cブロック日程表（結果）'!$B$3:$W$48,20,0)&amp;" /"&amp;VLOOKUP(E15,'Cブロック日程表（結果）'!$B$3:$W$48,21,0))</f>
        <v>#N/A</v>
      </c>
      <c r="D18" s="362"/>
      <c r="E18" s="363"/>
      <c r="F18" s="361" t="e">
        <f ca="1">IF(H15="","","AR:"&amp;VLOOKUP(H15,'Cブロック日程表（結果）'!$B$3:$W$48,20,0)&amp;" /"&amp;VLOOKUP(H15,'Cブロック日程表（結果）'!$B$3:$W$48,21,0))</f>
        <v>#N/A</v>
      </c>
      <c r="G18" s="362"/>
      <c r="H18" s="363"/>
      <c r="I18" s="361" t="e">
        <f ca="1">IF(K15="","","AR:"&amp;VLOOKUP(K15,'Cブロック日程表（結果）'!$B$3:$W$48,20,0)&amp;" /"&amp;VLOOKUP(K15,'Cブロック日程表（結果）'!$B$3:$W$48,21,0))</f>
        <v>#N/A</v>
      </c>
      <c r="J18" s="362"/>
      <c r="K18" s="363"/>
      <c r="L18" s="378"/>
      <c r="M18" s="379"/>
      <c r="N18" s="380"/>
      <c r="O18" s="361" t="e">
        <f ca="1">IF(Q15="","","AR:"&amp;VLOOKUP(Q15,'Cブロック日程表（結果）'!$B$3:$W$48,20,0)&amp;" /"&amp;VLOOKUP(Q15,'Cブロック日程表（結果）'!$B$3:$W$48,21,0))</f>
        <v>#N/A</v>
      </c>
      <c r="P18" s="362"/>
      <c r="Q18" s="363"/>
      <c r="R18" s="361" t="e">
        <f ca="1">IF(T15="","","AR:"&amp;VLOOKUP(T15,'Cブロック日程表（結果）'!$B$3:$W$48,20,0)&amp;" /"&amp;VLOOKUP(T15,'Cブロック日程表（結果）'!$B$3:$W$48,21,0))</f>
        <v>#N/A</v>
      </c>
      <c r="S18" s="362"/>
      <c r="T18" s="363"/>
      <c r="U18" s="361" t="e">
        <f ca="1">IF(W15="","","AR:"&amp;VLOOKUP(W15,'Cブロック日程表（結果）'!$B$3:$W$48,20,0)&amp;" /"&amp;VLOOKUP(W15,'Cブロック日程表（結果）'!$B$3:$W$48,21,0))</f>
        <v>#N/A</v>
      </c>
      <c r="V18" s="362"/>
      <c r="W18" s="363"/>
      <c r="X18" s="361" t="e">
        <f ca="1">IF(Z15="","","AR:"&amp;VLOOKUP(Z15,'Cブロック日程表（結果）'!$B$3:$W$48,20,0)&amp;" /"&amp;VLOOKUP(Z15,'Cブロック日程表（結果）'!$B$3:$W$48,21,0))</f>
        <v>#N/A</v>
      </c>
      <c r="Y18" s="362"/>
      <c r="Z18" s="363"/>
      <c r="AA18" s="361" t="e">
        <f ca="1">IF(AC15="","","AR:"&amp;VLOOKUP(AC15,'Cブロック日程表（結果）'!$B$3:$W$48,20,0)&amp;" /"&amp;VLOOKUP(AC15,'Cブロック日程表（結果）'!$B$3:$W$48,21,0))</f>
        <v>#N/A</v>
      </c>
      <c r="AB18" s="362"/>
      <c r="AC18" s="363"/>
      <c r="AD18" s="362" t="e">
        <f ca="1">IF(AF15="","","AR:"&amp;VLOOKUP(AF15,'Cブロック日程表（結果）'!$B$3:$W$48,20,0)&amp;" /"&amp;VLOOKUP(AF15,'Cブロック日程表（結果）'!$B$3:$W$48,21,0))</f>
        <v>#N/A</v>
      </c>
      <c r="AE18" s="362"/>
      <c r="AF18" s="382"/>
      <c r="AI18" s="83">
        <v>16</v>
      </c>
      <c r="AJ18" s="83">
        <f>VLOOKUP(AI18,'Cブロック日程表（結果）'!$B$3:$S$53,18,0)</f>
        <v>20171105</v>
      </c>
      <c r="AK18" s="83">
        <f t="shared" ca="1" si="0"/>
        <v>-9001</v>
      </c>
    </row>
    <row r="19" spans="1:37" ht="15" customHeight="1">
      <c r="A19" s="364">
        <v>5</v>
      </c>
      <c r="B19" s="367" t="str">
        <f>'Cブロック日程表（結果）'!N60</f>
        <v>大阪教員クラブ</v>
      </c>
      <c r="C19" s="369" t="e">
        <f ca="1">IF(E19="","",VLOOKUP(E19,'Cブロック日程表（結果）'!$B$3:$R$48,17,0))</f>
        <v>#N/A</v>
      </c>
      <c r="D19" s="393"/>
      <c r="E19" s="81" t="str">
        <f ca="1">IF(Q3="","",Q3)</f>
        <v>済</v>
      </c>
      <c r="F19" s="371" t="e">
        <f ca="1">IF(H19="","",VLOOKUP(H19,'Cブロック日程表（結果）'!$B$3:$R$48,17,0))</f>
        <v>#N/A</v>
      </c>
      <c r="G19" s="393"/>
      <c r="H19" s="81" t="str">
        <f ca="1">IF(Q7="","",Q7)</f>
        <v>済</v>
      </c>
      <c r="I19" s="371" t="e">
        <f ca="1">IF(K19="","",VLOOKUP(K19,'Cブロック日程表（結果）'!$B$3:$R$48,17,0))</f>
        <v>#N/A</v>
      </c>
      <c r="J19" s="370"/>
      <c r="K19" s="81" t="str">
        <f ca="1">IF(Q11="","",Q11)</f>
        <v>済</v>
      </c>
      <c r="L19" s="371" t="e">
        <f ca="1">IF(N19="","",VLOOKUP(N19,'Cブロック日程表（結果）'!$B$3:$R$48,17,0))</f>
        <v>#N/A</v>
      </c>
      <c r="M19" s="370"/>
      <c r="N19" s="81" t="str">
        <f ca="1">IF(Q15="","",Q15)</f>
        <v>済</v>
      </c>
      <c r="O19" s="373"/>
      <c r="P19" s="374"/>
      <c r="Q19" s="375"/>
      <c r="R19" s="371" t="e">
        <f ca="1">IF(T19="","",VLOOKUP(T19,'Cブロック日程表（結果）'!$B$3:$R$48,17,0))</f>
        <v>#N/A</v>
      </c>
      <c r="S19" s="370"/>
      <c r="T19" s="81" t="str">
        <f ca="1">IF(AJ17="","",IF(AK17&gt;=0,VLOOKUP(15,'Cブロック日程表（結果）'!$B$3:$T$48,19,0),"済"))</f>
        <v>済</v>
      </c>
      <c r="U19" s="371" t="e">
        <f ca="1">IF(W19="","",VLOOKUP(W19,'Cブロック日程表（結果）'!$B$3:$R$48,17,0))</f>
        <v>#N/A</v>
      </c>
      <c r="V19" s="370"/>
      <c r="W19" s="81" t="str">
        <f ca="1">IF(AJ22="","",IF(AK22&gt;=0,VLOOKUP(20,'Cブロック日程表（結果）'!$B$3:$T$48,19,0),"済"))</f>
        <v>済</v>
      </c>
      <c r="X19" s="371" t="e">
        <f ca="1">IF(Z19="","",VLOOKUP(Z19,'Cブロック日程表（結果）'!$B$3:$R$48,17,0))</f>
        <v>#N/A</v>
      </c>
      <c r="Y19" s="370"/>
      <c r="Z19" s="81" t="str">
        <f ca="1">IF(AJ28="","",IF(AK28&gt;=0,VLOOKUP(26,'Cブロック日程表（結果）'!$B$3:$T$48,19,0),"済"))</f>
        <v>済</v>
      </c>
      <c r="AA19" s="371" t="e">
        <f ca="1">IF(AC19="","",VLOOKUP(AC19,'Cブロック日程表（結果）'!$B$3:$R$48,17,0))</f>
        <v>#N/A</v>
      </c>
      <c r="AB19" s="370"/>
      <c r="AC19" s="81" t="str">
        <f ca="1">IF(AJ35="","",IF(AK35&gt;=0,VLOOKUP(33,'Cブロック日程表（結果）'!$B$3:$T$48,19,0),"済"))</f>
        <v>済</v>
      </c>
      <c r="AD19" s="370" t="e">
        <f ca="1">IF(AF19="","",VLOOKUP(AF19,'Cブロック日程表（結果）'!$B$3:$R$48,17,0))</f>
        <v>#N/A</v>
      </c>
      <c r="AE19" s="370"/>
      <c r="AF19" s="82" t="str">
        <f ca="1">IF(AJ43="","",IF(AK43&gt;=0,VLOOKUP(41,'Cブロック日程表（結果）'!$B$3:$T$48,19,0),"済"))</f>
        <v>済</v>
      </c>
      <c r="AI19" s="83">
        <v>17</v>
      </c>
      <c r="AJ19" s="83">
        <f>VLOOKUP(AI19,'Cブロック日程表（結果）'!$B$3:$S$53,18,0)</f>
        <v>20170702</v>
      </c>
      <c r="AK19" s="83">
        <f t="shared" ca="1" si="0"/>
        <v>-9404</v>
      </c>
    </row>
    <row r="20" spans="1:37" ht="15" customHeight="1">
      <c r="A20" s="364"/>
      <c r="B20" s="401"/>
      <c r="C20" s="353" t="e">
        <f ca="1">IF(E19="","",VLOOKUP(E19,'Cブロック日程表（結果）'!$B$3:$R$48,8,0)&amp;" KO"&amp;" ("&amp;VLOOKUP(E19,'Cブロック日程表（結果）'!$B$3:$W$48,22,0)&amp;")")</f>
        <v>#N/A</v>
      </c>
      <c r="D20" s="354"/>
      <c r="E20" s="355"/>
      <c r="F20" s="356" t="e">
        <f ca="1">IF(H19="","",VLOOKUP(H19,'Cブロック日程表（結果）'!$B$3:$R$48,8,0)&amp;" KO"&amp;" ("&amp;VLOOKUP(H19,'Cブロック日程表（結果）'!$B$3:$W$48,22,0)&amp;")")</f>
        <v>#N/A</v>
      </c>
      <c r="G20" s="354"/>
      <c r="H20" s="355"/>
      <c r="I20" s="356" t="e">
        <f ca="1">IF(K19="","",VLOOKUP(K19,'Cブロック日程表（結果）'!$B$3:$R$48,8,0)&amp;" KO"&amp;" ("&amp;VLOOKUP(K19,'Cブロック日程表（結果）'!$B$3:$W$48,22,0)&amp;")")</f>
        <v>#N/A</v>
      </c>
      <c r="J20" s="354"/>
      <c r="K20" s="355"/>
      <c r="L20" s="356" t="e">
        <f ca="1">IF(N19="","",VLOOKUP(N19,'Cブロック日程表（結果）'!$B$3:$R$48,8,0)&amp;" KO"&amp;" ("&amp;VLOOKUP(N19,'Cブロック日程表（結果）'!$B$3:$W$48,22,0)&amp;")")</f>
        <v>#N/A</v>
      </c>
      <c r="M20" s="354"/>
      <c r="N20" s="355"/>
      <c r="O20" s="376"/>
      <c r="P20" s="349"/>
      <c r="Q20" s="377"/>
      <c r="R20" s="356" t="e">
        <f ca="1">IF(T19="","",VLOOKUP(T19,'Cブロック日程表（結果）'!$B$3:$R$48,8,0)&amp;" KO"&amp;" ("&amp;VLOOKUP(T19,'Cブロック日程表（結果）'!$B$3:$W$48,22,0)&amp;")")</f>
        <v>#N/A</v>
      </c>
      <c r="S20" s="354"/>
      <c r="T20" s="355"/>
      <c r="U20" s="356" t="e">
        <f ca="1">IF(W19="","",VLOOKUP(W19,'Cブロック日程表（結果）'!$B$3:$R$48,8,0)&amp;" KO"&amp;" ("&amp;VLOOKUP(W19,'Cブロック日程表（結果）'!$B$3:$W$48,22,0)&amp;")")</f>
        <v>#N/A</v>
      </c>
      <c r="V20" s="354"/>
      <c r="W20" s="355"/>
      <c r="X20" s="356" t="e">
        <f ca="1">IF(Z19="","",VLOOKUP(Z19,'Cブロック日程表（結果）'!$B$3:$R$48,8,0)&amp;" KO"&amp;" ("&amp;VLOOKUP(Z19,'Cブロック日程表（結果）'!$B$3:$W$48,22,0)&amp;")")</f>
        <v>#N/A</v>
      </c>
      <c r="Y20" s="354"/>
      <c r="Z20" s="355"/>
      <c r="AA20" s="356" t="e">
        <f ca="1">IF(AC19="","",VLOOKUP(AC19,'Cブロック日程表（結果）'!$B$3:$R$48,8,0)&amp;" KO"&amp;" ("&amp;VLOOKUP(AC19,'Cブロック日程表（結果）'!$B$3:$W$48,22,0)&amp;")")</f>
        <v>#N/A</v>
      </c>
      <c r="AB20" s="354"/>
      <c r="AC20" s="355"/>
      <c r="AD20" s="354" t="e">
        <f ca="1">IF(AF19="","",VLOOKUP(AF19,'Cブロック日程表（結果）'!$B$3:$R$48,8,0)&amp;" KO"&amp;" ("&amp;VLOOKUP(AF19,'Cブロック日程表（結果）'!$B$3:$W$48,22,0)&amp;")")</f>
        <v>#N/A</v>
      </c>
      <c r="AE20" s="354"/>
      <c r="AF20" s="381"/>
      <c r="AI20" s="83">
        <v>18</v>
      </c>
      <c r="AJ20" s="83">
        <f>VLOOKUP(AI20,'Cブロック日程表（結果）'!$B$3:$S$53,18,0)</f>
        <v>20170730</v>
      </c>
      <c r="AK20" s="83">
        <f t="shared" ca="1" si="0"/>
        <v>-9376</v>
      </c>
    </row>
    <row r="21" spans="1:37" ht="15" customHeight="1">
      <c r="A21" s="364"/>
      <c r="B21" s="401"/>
      <c r="C21" s="353" t="e">
        <f ca="1">IF(E19="","",VLOOKUP(E19,'Cブロック日程表（結果）'!$B$3:$R$48,7,0))</f>
        <v>#N/A</v>
      </c>
      <c r="D21" s="354"/>
      <c r="E21" s="355"/>
      <c r="F21" s="356" t="e">
        <f ca="1">IF(H19="","",VLOOKUP(H19,'Cブロック日程表（結果）'!$B$3:$R$48,7,0))</f>
        <v>#N/A</v>
      </c>
      <c r="G21" s="354"/>
      <c r="H21" s="355"/>
      <c r="I21" s="356" t="e">
        <f ca="1">IF(K19="","",VLOOKUP(K19,'Cブロック日程表（結果）'!$B$3:$R$48,7,0))</f>
        <v>#N/A</v>
      </c>
      <c r="J21" s="354"/>
      <c r="K21" s="355"/>
      <c r="L21" s="356" t="e">
        <f ca="1">IF(N19="","",VLOOKUP(N19,'Cブロック日程表（結果）'!$B$3:$R$48,7,0))</f>
        <v>#N/A</v>
      </c>
      <c r="M21" s="354"/>
      <c r="N21" s="355"/>
      <c r="O21" s="376"/>
      <c r="P21" s="349"/>
      <c r="Q21" s="377"/>
      <c r="R21" s="356" t="e">
        <f ca="1">IF(T19="","",VLOOKUP(T19,'Cブロック日程表（結果）'!$B$3:$R$48,7,0))</f>
        <v>#N/A</v>
      </c>
      <c r="S21" s="354"/>
      <c r="T21" s="355"/>
      <c r="U21" s="356" t="e">
        <f ca="1">IF(W19="","",VLOOKUP(W19,'Cブロック日程表（結果）'!$B$3:$R$48,7,0))</f>
        <v>#N/A</v>
      </c>
      <c r="V21" s="354"/>
      <c r="W21" s="355"/>
      <c r="X21" s="356" t="e">
        <f ca="1">IF(Z19="","",VLOOKUP(Z19,'Cブロック日程表（結果）'!$B$3:$R$48,7,0))</f>
        <v>#N/A</v>
      </c>
      <c r="Y21" s="354"/>
      <c r="Z21" s="355"/>
      <c r="AA21" s="356" t="e">
        <f ca="1">IF(AC19="","",VLOOKUP(AC19,'Cブロック日程表（結果）'!$B$3:$R$48,7,0))</f>
        <v>#N/A</v>
      </c>
      <c r="AB21" s="354"/>
      <c r="AC21" s="355"/>
      <c r="AD21" s="354" t="e">
        <f ca="1">IF(AF19="","",VLOOKUP(AF19,'Cブロック日程表（結果）'!$B$3:$R$48,7,0))</f>
        <v>#N/A</v>
      </c>
      <c r="AE21" s="354"/>
      <c r="AF21" s="381"/>
      <c r="AI21" s="83">
        <v>19</v>
      </c>
      <c r="AJ21" s="83">
        <f>VLOOKUP(AI21,'Cブロック日程表（結果）'!$B$3:$S$53,18,0)</f>
        <v>20171203</v>
      </c>
      <c r="AK21" s="83">
        <f t="shared" ca="1" si="0"/>
        <v>-8903</v>
      </c>
    </row>
    <row r="22" spans="1:37" ht="15" customHeight="1">
      <c r="A22" s="364"/>
      <c r="B22" s="401"/>
      <c r="C22" s="372" t="e">
        <f ca="1">IF(E19="","","AR:"&amp;VLOOKUP(E19,'Cブロック日程表（結果）'!$B$3:$W$48,20,0)&amp;" /"&amp;VLOOKUP(E19,'Cブロック日程表（結果）'!$B$3:$W$48,21,0))</f>
        <v>#N/A</v>
      </c>
      <c r="D22" s="362"/>
      <c r="E22" s="363"/>
      <c r="F22" s="361" t="e">
        <f ca="1">IF(H19="","","AR:"&amp;VLOOKUP(H19,'Cブロック日程表（結果）'!$B$3:$W$48,20,0)&amp;" /"&amp;VLOOKUP(H19,'Cブロック日程表（結果）'!$B$3:$W$48,21,0))</f>
        <v>#N/A</v>
      </c>
      <c r="G22" s="362"/>
      <c r="H22" s="363"/>
      <c r="I22" s="361" t="e">
        <f ca="1">IF(K19="","","AR:"&amp;VLOOKUP(K19,'Cブロック日程表（結果）'!$B$3:$W$48,20,0)&amp;" /"&amp;VLOOKUP(K19,'Cブロック日程表（結果）'!$B$3:$W$48,21,0))</f>
        <v>#N/A</v>
      </c>
      <c r="J22" s="362"/>
      <c r="K22" s="363"/>
      <c r="L22" s="361" t="e">
        <f ca="1">IF(N19="","","AR:"&amp;VLOOKUP(N19,'Cブロック日程表（結果）'!$B$3:$W$48,20,0)&amp;" /"&amp;VLOOKUP(N19,'Cブロック日程表（結果）'!$B$3:$W$48,21,0))</f>
        <v>#N/A</v>
      </c>
      <c r="M22" s="362"/>
      <c r="N22" s="363"/>
      <c r="O22" s="378"/>
      <c r="P22" s="379"/>
      <c r="Q22" s="380"/>
      <c r="R22" s="361" t="e">
        <f ca="1">IF(T19="","","AR:"&amp;VLOOKUP(T19,'Cブロック日程表（結果）'!$B$3:$W$48,20,0)&amp;" /"&amp;VLOOKUP(T19,'Cブロック日程表（結果）'!$B$3:$W$48,21,0))</f>
        <v>#N/A</v>
      </c>
      <c r="S22" s="362"/>
      <c r="T22" s="363"/>
      <c r="U22" s="361" t="e">
        <f ca="1">IF(W19="","","AR:"&amp;VLOOKUP(W19,'Cブロック日程表（結果）'!$B$3:$W$48,20,0)&amp;" /"&amp;VLOOKUP(W19,'Cブロック日程表（結果）'!$B$3:$W$48,21,0))</f>
        <v>#N/A</v>
      </c>
      <c r="V22" s="362"/>
      <c r="W22" s="363"/>
      <c r="X22" s="361" t="e">
        <f ca="1">IF(Z19="","","AR:"&amp;VLOOKUP(Z19,'Cブロック日程表（結果）'!$B$3:$W$48,20,0)&amp;" /"&amp;VLOOKUP(Z19,'Cブロック日程表（結果）'!$B$3:$W$48,21,0))</f>
        <v>#N/A</v>
      </c>
      <c r="Y22" s="362"/>
      <c r="Z22" s="363"/>
      <c r="AA22" s="361" t="e">
        <f ca="1">IF(AC19="","","AR:"&amp;VLOOKUP(AC19,'Cブロック日程表（結果）'!$B$3:$W$48,20,0)&amp;" /"&amp;VLOOKUP(AC19,'Cブロック日程表（結果）'!$B$3:$W$48,21,0))</f>
        <v>#N/A</v>
      </c>
      <c r="AB22" s="362"/>
      <c r="AC22" s="363"/>
      <c r="AD22" s="362" t="e">
        <f ca="1">IF(AF19="","","AR:"&amp;VLOOKUP(AF19,'Cブロック日程表（結果）'!$B$3:$W$48,20,0)&amp;" /"&amp;VLOOKUP(AF19,'Cブロック日程表（結果）'!$B$3:$W$48,21,0))</f>
        <v>#N/A</v>
      </c>
      <c r="AE22" s="362"/>
      <c r="AF22" s="382"/>
      <c r="AI22" s="83">
        <v>20</v>
      </c>
      <c r="AJ22" s="83">
        <f>VLOOKUP(AI22,'Cブロック日程表（結果）'!$B$3:$S$53,18,0)</f>
        <v>20170618</v>
      </c>
      <c r="AK22" s="83">
        <f t="shared" ca="1" si="0"/>
        <v>-9488</v>
      </c>
    </row>
    <row r="23" spans="1:37" ht="15" customHeight="1">
      <c r="A23" s="364">
        <v>6</v>
      </c>
      <c r="B23" s="367" t="str">
        <f>'Cブロック日程表（結果）'!N61</f>
        <v>カルシオフットボールクラブ</v>
      </c>
      <c r="C23" s="369" t="e">
        <f ca="1">IF(E23="","",VLOOKUP(E23,'Cブロック日程表（結果）'!$B$3:$R$48,17,0))</f>
        <v>#N/A</v>
      </c>
      <c r="D23" s="370"/>
      <c r="E23" s="81" t="str">
        <f ca="1">IF(T3="","",T3)</f>
        <v>済</v>
      </c>
      <c r="F23" s="371" t="e">
        <f ca="1">IF(H23="","",VLOOKUP(H23,'Cブロック日程表（結果）'!$B$3:$R$48,17,0))</f>
        <v>#N/A</v>
      </c>
      <c r="G23" s="370"/>
      <c r="H23" s="81" t="str">
        <f ca="1">IF(T7="","",T7)</f>
        <v>済</v>
      </c>
      <c r="I23" s="371" t="e">
        <f ca="1">IF(K23="","",VLOOKUP(K23,'Cブロック日程表（結果）'!$B$3:$R$48,17,0))</f>
        <v>#N/A</v>
      </c>
      <c r="J23" s="370"/>
      <c r="K23" s="81" t="str">
        <f ca="1">IF(T11="","",T11)</f>
        <v>済</v>
      </c>
      <c r="L23" s="371" t="e">
        <f ca="1">IF(N23="","",VLOOKUP(N23,'Cブロック日程表（結果）'!$B$3:$R$48,17,0))</f>
        <v>#N/A</v>
      </c>
      <c r="M23" s="370"/>
      <c r="N23" s="81" t="str">
        <f ca="1">IF(T15="","",T15)</f>
        <v>済</v>
      </c>
      <c r="O23" s="371" t="e">
        <f ca="1">IF(Q23="","",VLOOKUP(Q23,'Cブロック日程表（結果）'!$B$3:$R$48,17,0))</f>
        <v>#N/A</v>
      </c>
      <c r="P23" s="370"/>
      <c r="Q23" s="81" t="str">
        <f ca="1">IF(T19="","",T19)</f>
        <v>済</v>
      </c>
      <c r="R23" s="373"/>
      <c r="S23" s="374"/>
      <c r="T23" s="375"/>
      <c r="U23" s="371" t="e">
        <f ca="1">IF(W23="","",VLOOKUP(W23,'Cブロック日程表（結果）'!$B$3:$R$48,17,0))</f>
        <v>#N/A</v>
      </c>
      <c r="V23" s="370"/>
      <c r="W23" s="81" t="str">
        <f ca="1">IF(AJ23="","",IF(AK23&gt;=0,VLOOKUP(21,'Cブロック日程表（結果）'!$B$3:$T$48,19,0),"済"))</f>
        <v>済</v>
      </c>
      <c r="X23" s="371" t="e">
        <f ca="1">IF(Z23="","",VLOOKUP(Z23,'Cブロック日程表（結果）'!$B$3:$R$48,17,0))</f>
        <v>#N/A</v>
      </c>
      <c r="Y23" s="370"/>
      <c r="Z23" s="81" t="str">
        <f ca="1">IF(AJ29="","",IF(AK29&gt;=0,VLOOKUP(27,'Cブロック日程表（結果）'!$B$3:$T$48,19,0),"済"))</f>
        <v>済</v>
      </c>
      <c r="AA23" s="371" t="e">
        <f ca="1">IF(AC23="","",VLOOKUP(AC23,'Cブロック日程表（結果）'!$B$3:$R$48,17,0))</f>
        <v>#N/A</v>
      </c>
      <c r="AB23" s="370"/>
      <c r="AC23" s="81" t="str">
        <f ca="1">IF(AJ36="","",IF(AK36&gt;=0,VLOOKUP(34,'Cブロック日程表（結果）'!$B$3:$T$48,19,0),"済"))</f>
        <v>済</v>
      </c>
      <c r="AD23" s="370" t="e">
        <f ca="1">IF(AF23="","",VLOOKUP(AF23,'Cブロック日程表（結果）'!$B$3:$R$48,17,0))</f>
        <v>#N/A</v>
      </c>
      <c r="AE23" s="370"/>
      <c r="AF23" s="82" t="str">
        <f ca="1">IF(AJ44="","",IF(AK44&gt;=0,VLOOKUP(42,'Cブロック日程表（結果）'!$B$3:$T$48,19,0),"済"))</f>
        <v>済</v>
      </c>
      <c r="AI23" s="83">
        <v>21</v>
      </c>
      <c r="AJ23" s="83">
        <f>VLOOKUP(AI23,'Cブロック日程表（結果）'!$B$3:$S$53,18,0)</f>
        <v>20170910</v>
      </c>
      <c r="AK23" s="83">
        <f t="shared" ca="1" si="0"/>
        <v>-9196</v>
      </c>
    </row>
    <row r="24" spans="1:37" ht="15" customHeight="1">
      <c r="A24" s="364"/>
      <c r="B24" s="365"/>
      <c r="C24" s="353" t="e">
        <f ca="1">IF(E23="","",VLOOKUP(E23,'Cブロック日程表（結果）'!$B$3:$R$48,8,0)&amp;" KO"&amp;" ("&amp;VLOOKUP(E23,'Cブロック日程表（結果）'!$B$3:$W$48,22,0)&amp;")")</f>
        <v>#N/A</v>
      </c>
      <c r="D24" s="354"/>
      <c r="E24" s="355"/>
      <c r="F24" s="356" t="e">
        <f ca="1">IF(H23="","",VLOOKUP(H23,'Cブロック日程表（結果）'!$B$3:$R$48,8,0)&amp;" KO"&amp;" ("&amp;VLOOKUP(H23,'Cブロック日程表（結果）'!$B$3:$W$48,22,0)&amp;")")</f>
        <v>#N/A</v>
      </c>
      <c r="G24" s="354"/>
      <c r="H24" s="355"/>
      <c r="I24" s="356" t="e">
        <f ca="1">IF(K23="","",VLOOKUP(K23,'Cブロック日程表（結果）'!$B$3:$R$48,8,0)&amp;" KO"&amp;" ("&amp;VLOOKUP(K23,'Cブロック日程表（結果）'!$B$3:$W$48,22,0)&amp;")")</f>
        <v>#N/A</v>
      </c>
      <c r="J24" s="354"/>
      <c r="K24" s="355"/>
      <c r="L24" s="356" t="e">
        <f ca="1">IF(N23="","",VLOOKUP(N23,'Cブロック日程表（結果）'!$B$3:$R$48,8,0)&amp;" KO"&amp;" ("&amp;VLOOKUP(N23,'Cブロック日程表（結果）'!$B$3:$W$48,22,0)&amp;")")</f>
        <v>#N/A</v>
      </c>
      <c r="M24" s="354"/>
      <c r="N24" s="355"/>
      <c r="O24" s="356" t="e">
        <f ca="1">IF(Q23="","",VLOOKUP(Q23,'Cブロック日程表（結果）'!$B$3:$R$48,8,0)&amp;" KO"&amp;" ("&amp;VLOOKUP(Q23,'Cブロック日程表（結果）'!$B$3:$W$48,22,0)&amp;")")</f>
        <v>#N/A</v>
      </c>
      <c r="P24" s="354"/>
      <c r="Q24" s="355"/>
      <c r="R24" s="376"/>
      <c r="S24" s="349"/>
      <c r="T24" s="377"/>
      <c r="U24" s="356" t="e">
        <f ca="1">IF(W23="","",VLOOKUP(W23,'Cブロック日程表（結果）'!$B$3:$R$48,8,0)&amp;" KO"&amp;" ("&amp;VLOOKUP(W23,'Cブロック日程表（結果）'!$B$3:$W$48,22,0)&amp;")")</f>
        <v>#N/A</v>
      </c>
      <c r="V24" s="354"/>
      <c r="W24" s="355"/>
      <c r="X24" s="356" t="e">
        <f ca="1">IF(Z23="","",VLOOKUP(Z23,'Cブロック日程表（結果）'!$B$3:$R$48,8,0)&amp;" KO"&amp;" ("&amp;VLOOKUP(Z23,'Cブロック日程表（結果）'!$B$3:$W$48,22,0)&amp;")")</f>
        <v>#N/A</v>
      </c>
      <c r="Y24" s="354"/>
      <c r="Z24" s="355"/>
      <c r="AA24" s="356" t="e">
        <f ca="1">IF(AC23="","",VLOOKUP(AC23,'Cブロック日程表（結果）'!$B$3:$R$48,8,0)&amp;" KO"&amp;" ("&amp;VLOOKUP(AC23,'Cブロック日程表（結果）'!$B$3:$W$48,22,0)&amp;")")</f>
        <v>#N/A</v>
      </c>
      <c r="AB24" s="354"/>
      <c r="AC24" s="355"/>
      <c r="AD24" s="354" t="e">
        <f ca="1">IF(AF23="","",VLOOKUP(AF23,'Cブロック日程表（結果）'!$B$3:$R$48,8,0)&amp;" KO"&amp;" ("&amp;VLOOKUP(AF23,'Cブロック日程表（結果）'!$B$3:$W$48,22,0)&amp;")")</f>
        <v>#N/A</v>
      </c>
      <c r="AE24" s="354"/>
      <c r="AF24" s="381"/>
      <c r="AI24" s="83">
        <v>22</v>
      </c>
      <c r="AJ24" s="83">
        <f>VLOOKUP(AI24,'Cブロック日程表（結果）'!$B$3:$S$53,18,0)</f>
        <v>20170730</v>
      </c>
      <c r="AK24" s="83">
        <f t="shared" ca="1" si="0"/>
        <v>-9376</v>
      </c>
    </row>
    <row r="25" spans="1:37" ht="15" customHeight="1">
      <c r="A25" s="364"/>
      <c r="B25" s="365"/>
      <c r="C25" s="353" t="e">
        <f ca="1">IF(E23="","",VLOOKUP(E23,'Cブロック日程表（結果）'!$B$3:$R$48,7,0))</f>
        <v>#N/A</v>
      </c>
      <c r="D25" s="354"/>
      <c r="E25" s="355"/>
      <c r="F25" s="356" t="e">
        <f ca="1">IF(H23="","",VLOOKUP(H23,'Cブロック日程表（結果）'!$B$3:$R$48,7,0))</f>
        <v>#N/A</v>
      </c>
      <c r="G25" s="354"/>
      <c r="H25" s="355"/>
      <c r="I25" s="356" t="e">
        <f ca="1">IF(K23="","",VLOOKUP(K23,'Cブロック日程表（結果）'!$B$3:$R$48,7,0))</f>
        <v>#N/A</v>
      </c>
      <c r="J25" s="354"/>
      <c r="K25" s="355"/>
      <c r="L25" s="356" t="e">
        <f ca="1">IF(N23="","",VLOOKUP(N23,'Cブロック日程表（結果）'!$B$3:$R$48,7,0))</f>
        <v>#N/A</v>
      </c>
      <c r="M25" s="354"/>
      <c r="N25" s="355"/>
      <c r="O25" s="356" t="e">
        <f ca="1">IF(Q23="","",VLOOKUP(Q23,'Cブロック日程表（結果）'!$B$3:$R$48,7,0))</f>
        <v>#N/A</v>
      </c>
      <c r="P25" s="354"/>
      <c r="Q25" s="355"/>
      <c r="R25" s="376"/>
      <c r="S25" s="349"/>
      <c r="T25" s="377"/>
      <c r="U25" s="356" t="e">
        <f ca="1">IF(W23="","",VLOOKUP(W23,'Cブロック日程表（結果）'!$B$3:$R$48,7,0))</f>
        <v>#N/A</v>
      </c>
      <c r="V25" s="354"/>
      <c r="W25" s="355"/>
      <c r="X25" s="356" t="e">
        <f ca="1">IF(Z23="","",VLOOKUP(Z23,'Cブロック日程表（結果）'!$B$3:$R$48,7,0))</f>
        <v>#N/A</v>
      </c>
      <c r="Y25" s="354"/>
      <c r="Z25" s="355"/>
      <c r="AA25" s="356" t="e">
        <f ca="1">IF(AC23="","",VLOOKUP(AC23,'Cブロック日程表（結果）'!$B$3:$R$48,7,0))</f>
        <v>#N/A</v>
      </c>
      <c r="AB25" s="354"/>
      <c r="AC25" s="355"/>
      <c r="AD25" s="354" t="e">
        <f ca="1">IF(AF23="","",VLOOKUP(AF23,'Cブロック日程表（結果）'!$B$3:$R$48,7,0))</f>
        <v>#N/A</v>
      </c>
      <c r="AE25" s="354"/>
      <c r="AF25" s="381"/>
      <c r="AI25" s="83">
        <v>23</v>
      </c>
      <c r="AJ25" s="83">
        <f>VLOOKUP(AI25,'Cブロック日程表（結果）'!$B$3:$S$53,18,0)</f>
        <v>20170625</v>
      </c>
      <c r="AK25" s="83">
        <f t="shared" ca="1" si="0"/>
        <v>-9481</v>
      </c>
    </row>
    <row r="26" spans="1:37" ht="15" customHeight="1">
      <c r="A26" s="364"/>
      <c r="B26" s="368"/>
      <c r="C26" s="372" t="e">
        <f ca="1">IF(E23="","","AR:"&amp;VLOOKUP(E23,'Cブロック日程表（結果）'!$B$3:$W$48,20,0)&amp;" /"&amp;VLOOKUP(E23,'Cブロック日程表（結果）'!$B$3:$W$48,21,0))</f>
        <v>#N/A</v>
      </c>
      <c r="D26" s="362"/>
      <c r="E26" s="363"/>
      <c r="F26" s="361" t="e">
        <f ca="1">IF(H23="","","AR:"&amp;VLOOKUP(H23,'Cブロック日程表（結果）'!$B$3:$W$48,20,0)&amp;" /"&amp;VLOOKUP(H23,'Cブロック日程表（結果）'!$B$3:$W$48,21,0))</f>
        <v>#N/A</v>
      </c>
      <c r="G26" s="362"/>
      <c r="H26" s="363"/>
      <c r="I26" s="361" t="e">
        <f ca="1">IF(K23="","","AR:"&amp;VLOOKUP(K23,'Cブロック日程表（結果）'!$B$3:$W$48,20,0)&amp;" /"&amp;VLOOKUP(K23,'Cブロック日程表（結果）'!$B$3:$W$48,21,0))</f>
        <v>#N/A</v>
      </c>
      <c r="J26" s="362"/>
      <c r="K26" s="363"/>
      <c r="L26" s="361" t="e">
        <f ca="1">IF(N23="","","AR:"&amp;VLOOKUP(N23,'Cブロック日程表（結果）'!$B$3:$W$48,20,0)&amp;" /"&amp;VLOOKUP(N23,'Cブロック日程表（結果）'!$B$3:$W$48,21,0))</f>
        <v>#N/A</v>
      </c>
      <c r="M26" s="362"/>
      <c r="N26" s="363"/>
      <c r="O26" s="361" t="e">
        <f ca="1">IF(Q23="","","AR:"&amp;VLOOKUP(Q23,'Cブロック日程表（結果）'!$B$3:$W$48,20,0)&amp;" /"&amp;VLOOKUP(Q23,'Cブロック日程表（結果）'!$B$3:$W$48,21,0))</f>
        <v>#N/A</v>
      </c>
      <c r="P26" s="362"/>
      <c r="Q26" s="363"/>
      <c r="R26" s="378"/>
      <c r="S26" s="379"/>
      <c r="T26" s="380"/>
      <c r="U26" s="361" t="e">
        <f ca="1">IF(W23="","","AR:"&amp;VLOOKUP(W23,'Cブロック日程表（結果）'!$B$3:$W$48,20,0)&amp;" /"&amp;VLOOKUP(W23,'Cブロック日程表（結果）'!$B$3:$W$48,21,0))</f>
        <v>#N/A</v>
      </c>
      <c r="V26" s="362"/>
      <c r="W26" s="363"/>
      <c r="X26" s="361" t="e">
        <f ca="1">IF(Z23="","","AR:"&amp;VLOOKUP(Z23,'Cブロック日程表（結果）'!$B$3:$W$48,20,0)&amp;" /"&amp;VLOOKUP(Z23,'Cブロック日程表（結果）'!$B$3:$W$48,21,0))</f>
        <v>#N/A</v>
      </c>
      <c r="Y26" s="362"/>
      <c r="Z26" s="363"/>
      <c r="AA26" s="361" t="e">
        <f ca="1">IF(AC23="","","AR:"&amp;VLOOKUP(AC23,'Cブロック日程表（結果）'!$B$3:$W$48,20,0)&amp;" /"&amp;VLOOKUP(AC23,'Cブロック日程表（結果）'!$B$3:$W$48,21,0))</f>
        <v>#N/A</v>
      </c>
      <c r="AB26" s="362"/>
      <c r="AC26" s="363"/>
      <c r="AD26" s="362" t="e">
        <f ca="1">IF(AF23="","","AR:"&amp;VLOOKUP(AF23,'Cブロック日程表（結果）'!$B$3:$W$48,20,0)&amp;" /"&amp;VLOOKUP(AF23,'Cブロック日程表（結果）'!$B$3:$W$48,21,0))</f>
        <v>#N/A</v>
      </c>
      <c r="AE26" s="362"/>
      <c r="AF26" s="382"/>
      <c r="AI26" s="83">
        <v>24</v>
      </c>
      <c r="AJ26" s="83">
        <f>VLOOKUP(AI26,'Cブロック日程表（結果）'!$B$3:$S$53,18,0)</f>
        <v>20170924</v>
      </c>
      <c r="AK26" s="83">
        <f t="shared" ca="1" si="0"/>
        <v>-9182</v>
      </c>
    </row>
    <row r="27" spans="1:37" ht="15" customHeight="1">
      <c r="A27" s="364">
        <v>7</v>
      </c>
      <c r="B27" s="365" t="str">
        <f>'Cブロック日程表（結果）'!N62</f>
        <v>BTMU</v>
      </c>
      <c r="C27" s="369" t="e">
        <f ca="1">IF(E27="","",VLOOKUP(E27,'Cブロック日程表（結果）'!$B$3:$R$48,17,0))</f>
        <v>#N/A</v>
      </c>
      <c r="D27" s="370"/>
      <c r="E27" s="81" t="str">
        <f ca="1">IF(W3="","",W3)</f>
        <v>済</v>
      </c>
      <c r="F27" s="371" t="e">
        <f ca="1">IF(H27="","",VLOOKUP(H27,'Cブロック日程表（結果）'!$B$3:$R$48,17,0))</f>
        <v>#N/A</v>
      </c>
      <c r="G27" s="370"/>
      <c r="H27" s="81" t="str">
        <f ca="1">IF(W7="","",W7)</f>
        <v>済</v>
      </c>
      <c r="I27" s="371" t="e">
        <f ca="1">IF(K27="","",VLOOKUP(K27,'Cブロック日程表（結果）'!$B$3:$R$48,17,0))</f>
        <v>#N/A</v>
      </c>
      <c r="J27" s="370"/>
      <c r="K27" s="81" t="str">
        <f ca="1">IF(W11="","",W11)</f>
        <v>済</v>
      </c>
      <c r="L27" s="371" t="e">
        <f ca="1">IF(N27="","",VLOOKUP(N27,'Cブロック日程表（結果）'!$B$3:$R$48,17,0))</f>
        <v>#N/A</v>
      </c>
      <c r="M27" s="370"/>
      <c r="N27" s="81" t="str">
        <f ca="1">IF(W15="","",W15)</f>
        <v>済</v>
      </c>
      <c r="O27" s="371" t="e">
        <f ca="1">IF(Q27="","",VLOOKUP(Q27,'Cブロック日程表（結果）'!$B$3:$R$48,17,0))</f>
        <v>#N/A</v>
      </c>
      <c r="P27" s="370"/>
      <c r="Q27" s="81" t="str">
        <f ca="1">IF(W19="","",W19)</f>
        <v>済</v>
      </c>
      <c r="R27" s="371" t="e">
        <f ca="1">IF(T27="","",VLOOKUP(T27,'Cブロック日程表（結果）'!$B$3:$R$48,17,0))</f>
        <v>#N/A</v>
      </c>
      <c r="S27" s="370"/>
      <c r="T27" s="81" t="str">
        <f ca="1">IF(W23="","",W23)</f>
        <v>済</v>
      </c>
      <c r="U27" s="373"/>
      <c r="V27" s="374"/>
      <c r="W27" s="375"/>
      <c r="X27" s="371" t="e">
        <f ca="1">IF(Z27="","",VLOOKUP(Z27,'Cブロック日程表（結果）'!$B$3:$R$48,17,0))</f>
        <v>#N/A</v>
      </c>
      <c r="Y27" s="370"/>
      <c r="Z27" s="81" t="str">
        <f ca="1">IF(AJ30="","",IF(AK30&gt;=0,VLOOKUP(28,'Cブロック日程表（結果）'!$B$3:$T$48,19,0),"済"))</f>
        <v>済</v>
      </c>
      <c r="AA27" s="371" t="e">
        <f ca="1">IF(AC27="","",VLOOKUP(AC27,'Cブロック日程表（結果）'!$B$3:$R$48,17,0))</f>
        <v>#N/A</v>
      </c>
      <c r="AB27" s="370"/>
      <c r="AC27" s="81" t="str">
        <f ca="1">IF(AJ37="","",IF(AK37&gt;=0,VLOOKUP(35,'Cブロック日程表（結果）'!$B$3:$T$48,19,0),"済"))</f>
        <v>済</v>
      </c>
      <c r="AD27" s="370" t="e">
        <f ca="1">IF(AF27="","",VLOOKUP(AF27,'Cブロック日程表（結果）'!$B$3:$R$48,17,0))</f>
        <v>#N/A</v>
      </c>
      <c r="AE27" s="370"/>
      <c r="AF27" s="82" t="str">
        <f ca="1">IF(AJ45="","",IF(AK45&gt;=0,VLOOKUP(43,'Cブロック日程表（結果）'!$B$3:$T$48,19,0),"済"))</f>
        <v>済</v>
      </c>
      <c r="AI27" s="83">
        <v>25</v>
      </c>
      <c r="AJ27" s="83">
        <f>VLOOKUP(AI27,'Cブロック日程表（結果）'!$B$3:$S$53,18,0)</f>
        <v>20170618</v>
      </c>
      <c r="AK27" s="83">
        <f t="shared" ca="1" si="0"/>
        <v>-9488</v>
      </c>
    </row>
    <row r="28" spans="1:37" ht="15" customHeight="1">
      <c r="A28" s="364"/>
      <c r="B28" s="365"/>
      <c r="C28" s="353" t="e">
        <f ca="1">IF(E27="","",VLOOKUP(E27,'Cブロック日程表（結果）'!$B$3:$R$48,8,0)&amp;" KO"&amp;" ("&amp;VLOOKUP(E27,'Cブロック日程表（結果）'!$B$3:$W$48,22,0)&amp;")")</f>
        <v>#N/A</v>
      </c>
      <c r="D28" s="354"/>
      <c r="E28" s="355"/>
      <c r="F28" s="356" t="e">
        <f ca="1">IF(H27="","",VLOOKUP(H27,'Cブロック日程表（結果）'!$B$3:$R$48,8,0)&amp;" KO"&amp;" ("&amp;VLOOKUP(H27,'Cブロック日程表（結果）'!$B$3:$W$48,22,0)&amp;")")</f>
        <v>#N/A</v>
      </c>
      <c r="G28" s="354"/>
      <c r="H28" s="355"/>
      <c r="I28" s="356" t="e">
        <f ca="1">IF(K27="","",VLOOKUP(K27,'Cブロック日程表（結果）'!$B$3:$R$48,8,0)&amp;" KO"&amp;" ("&amp;VLOOKUP(K27,'Cブロック日程表（結果）'!$B$3:$W$48,22,0)&amp;")")</f>
        <v>#N/A</v>
      </c>
      <c r="J28" s="354"/>
      <c r="K28" s="355"/>
      <c r="L28" s="356" t="e">
        <f ca="1">IF(N27="","",VLOOKUP(N27,'Cブロック日程表（結果）'!$B$3:$R$48,8,0)&amp;" KO"&amp;" ("&amp;VLOOKUP(N27,'Cブロック日程表（結果）'!$B$3:$W$48,22,0)&amp;")")</f>
        <v>#N/A</v>
      </c>
      <c r="M28" s="354"/>
      <c r="N28" s="355"/>
      <c r="O28" s="356" t="e">
        <f ca="1">IF(Q27="","",VLOOKUP(Q27,'Cブロック日程表（結果）'!$B$3:$R$48,8,0)&amp;" KO"&amp;" ("&amp;VLOOKUP(Q27,'Cブロック日程表（結果）'!$B$3:$W$48,22,0)&amp;")")</f>
        <v>#N/A</v>
      </c>
      <c r="P28" s="354"/>
      <c r="Q28" s="355"/>
      <c r="R28" s="356" t="e">
        <f ca="1">IF(T27="","",VLOOKUP(T27,'Cブロック日程表（結果）'!$B$3:$R$48,8,0)&amp;" KO"&amp;" ("&amp;VLOOKUP(T27,'Cブロック日程表（結果）'!$B$3:$W$48,22,0)&amp;")")</f>
        <v>#N/A</v>
      </c>
      <c r="S28" s="354"/>
      <c r="T28" s="355"/>
      <c r="U28" s="376"/>
      <c r="V28" s="349"/>
      <c r="W28" s="377"/>
      <c r="X28" s="356" t="e">
        <f ca="1">IF(Z27="","",VLOOKUP(Z27,'Cブロック日程表（結果）'!$B$3:$R$48,8,0)&amp;" KO"&amp;" ("&amp;VLOOKUP(Z27,'Cブロック日程表（結果）'!$B$3:$W$48,22,0)&amp;")")</f>
        <v>#N/A</v>
      </c>
      <c r="Y28" s="354"/>
      <c r="Z28" s="355"/>
      <c r="AA28" s="356" t="e">
        <f ca="1">IF(AC27="","",VLOOKUP(AC27,'Cブロック日程表（結果）'!$B$3:$R$48,8,0)&amp;" KO"&amp;" ("&amp;VLOOKUP(AC27,'Cブロック日程表（結果）'!$B$3:$W$48,22,0)&amp;")")</f>
        <v>#N/A</v>
      </c>
      <c r="AB28" s="354"/>
      <c r="AC28" s="355"/>
      <c r="AD28" s="354" t="e">
        <f ca="1">IF(AF27="","",VLOOKUP(AF27,'Cブロック日程表（結果）'!$B$3:$R$48,8,0)&amp;" KO"&amp;" ("&amp;VLOOKUP(AF27,'Cブロック日程表（結果）'!$B$3:$W$48,22,0)&amp;")")</f>
        <v>#N/A</v>
      </c>
      <c r="AE28" s="354"/>
      <c r="AF28" s="381"/>
      <c r="AI28" s="83">
        <v>26</v>
      </c>
      <c r="AJ28" s="83">
        <f>VLOOKUP(AI28,'Cブロック日程表（結果）'!$B$3:$S$53,18,0)</f>
        <v>20171119</v>
      </c>
      <c r="AK28" s="83">
        <f t="shared" ca="1" si="0"/>
        <v>-8987</v>
      </c>
    </row>
    <row r="29" spans="1:37" ht="15" customHeight="1">
      <c r="A29" s="364"/>
      <c r="B29" s="365"/>
      <c r="C29" s="353" t="e">
        <f ca="1">IF(E27="","",VLOOKUP(E27,'Cブロック日程表（結果）'!$B$3:$R$48,7,0))</f>
        <v>#N/A</v>
      </c>
      <c r="D29" s="354"/>
      <c r="E29" s="355"/>
      <c r="F29" s="356" t="e">
        <f ca="1">IF(H27="","",VLOOKUP(H27,'Cブロック日程表（結果）'!$B$3:$R$48,7,0))</f>
        <v>#N/A</v>
      </c>
      <c r="G29" s="354"/>
      <c r="H29" s="355"/>
      <c r="I29" s="356" t="e">
        <f ca="1">IF(K27="","",VLOOKUP(K27,'Cブロック日程表（結果）'!$B$3:$R$48,7,0))</f>
        <v>#N/A</v>
      </c>
      <c r="J29" s="354"/>
      <c r="K29" s="355"/>
      <c r="L29" s="356" t="e">
        <f ca="1">IF(N27="","",VLOOKUP(N27,'Cブロック日程表（結果）'!$B$3:$R$48,7,0))</f>
        <v>#N/A</v>
      </c>
      <c r="M29" s="354"/>
      <c r="N29" s="355"/>
      <c r="O29" s="356" t="e">
        <f ca="1">IF(Q27="","",VLOOKUP(Q27,'Cブロック日程表（結果）'!$B$3:$R$48,7,0))</f>
        <v>#N/A</v>
      </c>
      <c r="P29" s="354"/>
      <c r="Q29" s="355"/>
      <c r="R29" s="356" t="e">
        <f ca="1">IF(T27="","",VLOOKUP(T27,'Cブロック日程表（結果）'!$B$3:$R$48,7,0))</f>
        <v>#N/A</v>
      </c>
      <c r="S29" s="354"/>
      <c r="T29" s="355"/>
      <c r="U29" s="376"/>
      <c r="V29" s="349"/>
      <c r="W29" s="377"/>
      <c r="X29" s="356" t="e">
        <f ca="1">IF(Z27="","",VLOOKUP(Z27,'Cブロック日程表（結果）'!$B$3:$R$48,7,0))</f>
        <v>#N/A</v>
      </c>
      <c r="Y29" s="354"/>
      <c r="Z29" s="355"/>
      <c r="AA29" s="356" t="e">
        <f ca="1">IF(AC27="","",VLOOKUP(AC27,'Cブロック日程表（結果）'!$B$3:$R$48,7,0))</f>
        <v>#N/A</v>
      </c>
      <c r="AB29" s="354"/>
      <c r="AC29" s="355"/>
      <c r="AD29" s="354" t="e">
        <f ca="1">IF(AF27="","",VLOOKUP(AF27,'Cブロック日程表（結果）'!$B$3:$R$48,7,0))</f>
        <v>#N/A</v>
      </c>
      <c r="AE29" s="354"/>
      <c r="AF29" s="381"/>
      <c r="AI29" s="83">
        <v>27</v>
      </c>
      <c r="AJ29" s="83">
        <f>VLOOKUP(AI29,'Cブロック日程表（結果）'!$B$3:$S$53,18,0)</f>
        <v>20171112</v>
      </c>
      <c r="AK29" s="83">
        <f t="shared" ca="1" si="0"/>
        <v>-8994</v>
      </c>
    </row>
    <row r="30" spans="1:37" ht="15" customHeight="1">
      <c r="A30" s="364"/>
      <c r="B30" s="368"/>
      <c r="C30" s="372" t="e">
        <f ca="1">IF(E27="","","AR:"&amp;VLOOKUP(E27,'Cブロック日程表（結果）'!$B$3:$W$48,20,0)&amp;" /"&amp;VLOOKUP(E27,'Cブロック日程表（結果）'!$B$3:$W$48,21,0))</f>
        <v>#N/A</v>
      </c>
      <c r="D30" s="362"/>
      <c r="E30" s="363"/>
      <c r="F30" s="361" t="e">
        <f ca="1">IF(H27="","","AR:"&amp;VLOOKUP(H27,'Cブロック日程表（結果）'!$B$3:$W$48,20,0)&amp;" /"&amp;VLOOKUP(H27,'Cブロック日程表（結果）'!$B$3:$W$48,21,0))</f>
        <v>#N/A</v>
      </c>
      <c r="G30" s="362"/>
      <c r="H30" s="363"/>
      <c r="I30" s="361" t="e">
        <f ca="1">IF(K27="","","AR:"&amp;VLOOKUP(K27,'Cブロック日程表（結果）'!$B$3:$W$48,20,0)&amp;" /"&amp;VLOOKUP(K27,'Cブロック日程表（結果）'!$B$3:$W$48,21,0))</f>
        <v>#N/A</v>
      </c>
      <c r="J30" s="362"/>
      <c r="K30" s="363"/>
      <c r="L30" s="361" t="e">
        <f ca="1">IF(N27="","","AR:"&amp;VLOOKUP(N27,'Cブロック日程表（結果）'!$B$3:$W$48,20,0)&amp;" /"&amp;VLOOKUP(N27,'Cブロック日程表（結果）'!$B$3:$W$48,21,0))</f>
        <v>#N/A</v>
      </c>
      <c r="M30" s="362"/>
      <c r="N30" s="363"/>
      <c r="O30" s="361" t="e">
        <f ca="1">IF(Q27="","","AR:"&amp;VLOOKUP(Q27,'Cブロック日程表（結果）'!$B$3:$W$48,20,0)&amp;" /"&amp;VLOOKUP(Q27,'Cブロック日程表（結果）'!$B$3:$W$48,21,0))</f>
        <v>#N/A</v>
      </c>
      <c r="P30" s="362"/>
      <c r="Q30" s="363"/>
      <c r="R30" s="361" t="e">
        <f ca="1">IF(T27="","","AR:"&amp;VLOOKUP(T27,'Cブロック日程表（結果）'!$B$3:$W$48,20,0)&amp;" /"&amp;VLOOKUP(T27,'Cブロック日程表（結果）'!$B$3:$W$48,21,0))</f>
        <v>#N/A</v>
      </c>
      <c r="S30" s="362"/>
      <c r="T30" s="363"/>
      <c r="U30" s="378"/>
      <c r="V30" s="379"/>
      <c r="W30" s="380"/>
      <c r="X30" s="361" t="e">
        <f ca="1">IF(Z27="","","AR:"&amp;VLOOKUP(Z27,'Cブロック日程表（結果）'!$B$3:$W$48,20,0)&amp;" /"&amp;VLOOKUP(Z27,'Cブロック日程表（結果）'!$B$3:$W$48,21,0))</f>
        <v>#N/A</v>
      </c>
      <c r="Y30" s="362"/>
      <c r="Z30" s="363"/>
      <c r="AA30" s="361" t="e">
        <f ca="1">IF(AC27="","","AR:"&amp;VLOOKUP(AC27,'Cブロック日程表（結果）'!$B$3:$W$48,20,0)&amp;" /"&amp;VLOOKUP(AC27,'Cブロック日程表（結果）'!$B$3:$W$48,21,0))</f>
        <v>#N/A</v>
      </c>
      <c r="AB30" s="362"/>
      <c r="AC30" s="363"/>
      <c r="AD30" s="362" t="e">
        <f ca="1">IF(AF27="","","AR:"&amp;VLOOKUP(AF27,'Cブロック日程表（結果）'!$B$3:$W$48,20,0)&amp;" /"&amp;VLOOKUP(AF27,'Cブロック日程表（結果）'!$B$3:$W$48,21,0))</f>
        <v>#N/A</v>
      </c>
      <c r="AE30" s="362"/>
      <c r="AF30" s="382"/>
      <c r="AI30" s="83">
        <v>28</v>
      </c>
      <c r="AJ30" s="83">
        <f>VLOOKUP(AI30,'Cブロック日程表（結果）'!$B$3:$S$53,18,0)</f>
        <v>20170716</v>
      </c>
      <c r="AK30" s="83">
        <f t="shared" ca="1" si="0"/>
        <v>-9390</v>
      </c>
    </row>
    <row r="31" spans="1:37" ht="15" customHeight="1">
      <c r="A31" s="364">
        <v>8</v>
      </c>
      <c r="B31" s="367" t="str">
        <f>'Cブロック日程表（結果）'!N63</f>
        <v>OKFC2011</v>
      </c>
      <c r="C31" s="369" t="e">
        <f ca="1">IF(E31="","",VLOOKUP(E31,'Cブロック日程表（結果）'!$B$3:$R$48,17,0))</f>
        <v>#N/A</v>
      </c>
      <c r="D31" s="370"/>
      <c r="E31" s="81" t="str">
        <f ca="1">IF(Z3="","",Z3)</f>
        <v>済</v>
      </c>
      <c r="F31" s="371" t="e">
        <f ca="1">IF(H31="","",VLOOKUP(H31,'Cブロック日程表（結果）'!$B$3:$R$48,17,0))</f>
        <v>#N/A</v>
      </c>
      <c r="G31" s="370"/>
      <c r="H31" s="81" t="str">
        <f ca="1">IF(Z7="","",Z7)</f>
        <v>済</v>
      </c>
      <c r="I31" s="371" t="e">
        <f ca="1">IF(K31="","",VLOOKUP(K31,'Cブロック日程表（結果）'!$B$3:$R$48,17,0))</f>
        <v>#N/A</v>
      </c>
      <c r="J31" s="370"/>
      <c r="K31" s="81" t="str">
        <f ca="1">IF(Z11="","",Z11)</f>
        <v>済</v>
      </c>
      <c r="L31" s="371" t="e">
        <f ca="1">IF(N31="","",VLOOKUP(N31,'Cブロック日程表（結果）'!$B$3:$R$48,17,0))</f>
        <v>#N/A</v>
      </c>
      <c r="M31" s="370"/>
      <c r="N31" s="81" t="str">
        <f ca="1">IF(Z15="","",Z15)</f>
        <v>済</v>
      </c>
      <c r="O31" s="371" t="e">
        <f ca="1">IF(Q31="","",VLOOKUP(Q31,'Cブロック日程表（結果）'!$B$3:$R$48,17,0))</f>
        <v>#N/A</v>
      </c>
      <c r="P31" s="370"/>
      <c r="Q31" s="81" t="str">
        <f ca="1">IF(Z19="","",Z19)</f>
        <v>済</v>
      </c>
      <c r="R31" s="371" t="e">
        <f ca="1">IF(T31="","",VLOOKUP(T31,'Cブロック日程表（結果）'!$B$3:$R$48,17,0))</f>
        <v>#N/A</v>
      </c>
      <c r="S31" s="370"/>
      <c r="T31" s="81" t="str">
        <f ca="1">IF(Z23="","",Z23)</f>
        <v>済</v>
      </c>
      <c r="U31" s="371" t="e">
        <f ca="1">IF(W31="","",VLOOKUP(W31,'Cブロック日程表（結果）'!$B$3:$R$48,17,0))</f>
        <v>#N/A</v>
      </c>
      <c r="V31" s="370"/>
      <c r="W31" s="81" t="str">
        <f ca="1">IF(Z27="","",Z27)</f>
        <v>済</v>
      </c>
      <c r="X31" s="373"/>
      <c r="Y31" s="374"/>
      <c r="Z31" s="375"/>
      <c r="AA31" s="371" t="e">
        <f ca="1">IF(AC31="","",VLOOKUP(AC31,'Cブロック日程表（結果）'!$B$3:$R$48,17,0))</f>
        <v>#N/A</v>
      </c>
      <c r="AB31" s="370"/>
      <c r="AC31" s="81" t="str">
        <f ca="1">IF(AJ38="","",IF(AK38&gt;=0,VLOOKUP(36,'Cブロック日程表（結果）'!$B$3:$T$48,19,0),"済"))</f>
        <v>済</v>
      </c>
      <c r="AD31" s="370" t="e">
        <f ca="1">IF(AF31="","",VLOOKUP(AF31,'Cブロック日程表（結果）'!$B$3:$R$48,17,0))</f>
        <v>#N/A</v>
      </c>
      <c r="AE31" s="370"/>
      <c r="AF31" s="82" t="str">
        <f ca="1">IF(AJ46="","",IF(AK46&gt;=0,VLOOKUP(44,'Cブロック日程表（結果）'!$B$3:$T$48,19,0),"済"))</f>
        <v>済</v>
      </c>
      <c r="AI31" s="83">
        <v>29</v>
      </c>
      <c r="AJ31" s="83">
        <f>VLOOKUP(AI31,'Cブロック日程表（結果）'!$B$3:$S$53,18,0)</f>
        <v>20171015</v>
      </c>
      <c r="AK31" s="83">
        <f t="shared" ca="1" si="0"/>
        <v>-9091</v>
      </c>
    </row>
    <row r="32" spans="1:37" ht="15" customHeight="1">
      <c r="A32" s="364"/>
      <c r="B32" s="365"/>
      <c r="C32" s="353" t="e">
        <f ca="1">IF(E31="","",VLOOKUP(E31,'Cブロック日程表（結果）'!$B$3:$R$48,8,0)&amp;" KO"&amp;" ("&amp;VLOOKUP(E31,'Cブロック日程表（結果）'!$B$3:$W$48,22,0)&amp;")")</f>
        <v>#N/A</v>
      </c>
      <c r="D32" s="354"/>
      <c r="E32" s="355"/>
      <c r="F32" s="356" t="e">
        <f ca="1">IF(H31="","",VLOOKUP(H31,'Cブロック日程表（結果）'!$B$3:$R$48,8,0)&amp;" KO"&amp;" ("&amp;VLOOKUP(H31,'Cブロック日程表（結果）'!$B$3:$W$48,22,0)&amp;")")</f>
        <v>#N/A</v>
      </c>
      <c r="G32" s="354"/>
      <c r="H32" s="355"/>
      <c r="I32" s="356" t="e">
        <f ca="1">IF(K31="","",VLOOKUP(K31,'Cブロック日程表（結果）'!$B$3:$R$48,8,0)&amp;" KO"&amp;" ("&amp;VLOOKUP(K31,'Cブロック日程表（結果）'!$B$3:$W$48,22,0)&amp;")")</f>
        <v>#N/A</v>
      </c>
      <c r="J32" s="354"/>
      <c r="K32" s="355"/>
      <c r="L32" s="356" t="e">
        <f ca="1">IF(N31="","",VLOOKUP(N31,'Cブロック日程表（結果）'!$B$3:$R$48,8,0)&amp;" KO"&amp;" ("&amp;VLOOKUP(N31,'Cブロック日程表（結果）'!$B$3:$W$48,22,0)&amp;")")</f>
        <v>#N/A</v>
      </c>
      <c r="M32" s="354"/>
      <c r="N32" s="355"/>
      <c r="O32" s="356" t="e">
        <f ca="1">IF(Q31="","",VLOOKUP(Q31,'Cブロック日程表（結果）'!$B$3:$R$48,8,0)&amp;" KO"&amp;" ("&amp;VLOOKUP(Q31,'Cブロック日程表（結果）'!$B$3:$W$48,22,0)&amp;")")</f>
        <v>#N/A</v>
      </c>
      <c r="P32" s="354"/>
      <c r="Q32" s="355"/>
      <c r="R32" s="356" t="e">
        <f ca="1">IF(T31="","",VLOOKUP(T31,'Cブロック日程表（結果）'!$B$3:$R$48,8,0)&amp;" KO"&amp;" ("&amp;VLOOKUP(T31,'Cブロック日程表（結果）'!$B$3:$W$48,22,0)&amp;")")</f>
        <v>#N/A</v>
      </c>
      <c r="S32" s="354"/>
      <c r="T32" s="355"/>
      <c r="U32" s="356" t="e">
        <f ca="1">IF(W31="","",VLOOKUP(W31,'Cブロック日程表（結果）'!$B$3:$R$48,8,0)&amp;" KO"&amp;" ("&amp;VLOOKUP(W31,'Cブロック日程表（結果）'!$B$3:$W$48,22,0)&amp;")")</f>
        <v>#N/A</v>
      </c>
      <c r="V32" s="354"/>
      <c r="W32" s="355"/>
      <c r="X32" s="376"/>
      <c r="Y32" s="349"/>
      <c r="Z32" s="377"/>
      <c r="AA32" s="356" t="e">
        <f ca="1">IF(AC31="","",VLOOKUP(AC31,'Cブロック日程表（結果）'!$B$3:$R$48,8,0)&amp;" KO"&amp;" ("&amp;VLOOKUP(AC31,'Cブロック日程表（結果）'!$B$3:$W$48,22,0)&amp;")")</f>
        <v>#N/A</v>
      </c>
      <c r="AB32" s="354"/>
      <c r="AC32" s="355"/>
      <c r="AD32" s="354" t="e">
        <f ca="1">IF(AF31="","",VLOOKUP(AF31,'Cブロック日程表（結果）'!$B$3:$R$48,8,0)&amp;" KO"&amp;" ("&amp;VLOOKUP(AF31,'Cブロック日程表（結果）'!$B$3:$W$48,22,0)&amp;")")</f>
        <v>#N/A</v>
      </c>
      <c r="AE32" s="354"/>
      <c r="AF32" s="381"/>
      <c r="AI32" s="83">
        <v>30</v>
      </c>
      <c r="AJ32" s="83">
        <f>VLOOKUP(AI32,'Cブロック日程表（結果）'!$B$3:$S$53,18,0)</f>
        <v>20171119</v>
      </c>
      <c r="AK32" s="83">
        <f t="shared" ca="1" si="0"/>
        <v>-8987</v>
      </c>
    </row>
    <row r="33" spans="1:37" ht="15" customHeight="1">
      <c r="A33" s="364"/>
      <c r="B33" s="365"/>
      <c r="C33" s="353" t="e">
        <f ca="1">IF(E31="","",VLOOKUP(E31,'Cブロック日程表（結果）'!$B$3:$R$48,7,0))</f>
        <v>#N/A</v>
      </c>
      <c r="D33" s="354"/>
      <c r="E33" s="355"/>
      <c r="F33" s="356" t="e">
        <f ca="1">IF(H31="","",VLOOKUP(H31,'Cブロック日程表（結果）'!$B$3:$R$48,7,0))</f>
        <v>#N/A</v>
      </c>
      <c r="G33" s="354"/>
      <c r="H33" s="355"/>
      <c r="I33" s="356" t="e">
        <f ca="1">IF(K31="","",VLOOKUP(K31,'Cブロック日程表（結果）'!$B$3:$R$48,7,0))</f>
        <v>#N/A</v>
      </c>
      <c r="J33" s="354"/>
      <c r="K33" s="355"/>
      <c r="L33" s="356" t="e">
        <f ca="1">IF(N31="","",VLOOKUP(N31,'Cブロック日程表（結果）'!$B$3:$R$48,7,0))</f>
        <v>#N/A</v>
      </c>
      <c r="M33" s="354"/>
      <c r="N33" s="355"/>
      <c r="O33" s="356" t="e">
        <f ca="1">IF(Q31="","",VLOOKUP(Q31,'Cブロック日程表（結果）'!$B$3:$R$48,7,0))</f>
        <v>#N/A</v>
      </c>
      <c r="P33" s="354"/>
      <c r="Q33" s="355"/>
      <c r="R33" s="356" t="e">
        <f ca="1">IF(T31="","",VLOOKUP(T31,'Cブロック日程表（結果）'!$B$3:$R$48,7,0))</f>
        <v>#N/A</v>
      </c>
      <c r="S33" s="354"/>
      <c r="T33" s="355"/>
      <c r="U33" s="356" t="e">
        <f ca="1">IF(W31="","",VLOOKUP(W31,'Cブロック日程表（結果）'!$B$3:$R$48,7,0))</f>
        <v>#N/A</v>
      </c>
      <c r="V33" s="354"/>
      <c r="W33" s="355"/>
      <c r="X33" s="376"/>
      <c r="Y33" s="349"/>
      <c r="Z33" s="377"/>
      <c r="AA33" s="356" t="e">
        <f ca="1">IF(AC31="","",VLOOKUP(AC31,'Cブロック日程表（結果）'!$B$3:$R$48,7,0))</f>
        <v>#N/A</v>
      </c>
      <c r="AB33" s="354"/>
      <c r="AC33" s="355"/>
      <c r="AD33" s="354" t="e">
        <f ca="1">IF(AF31="","",VLOOKUP(AF31,'Cブロック日程表（結果）'!$B$3:$R$48,7,0))</f>
        <v>#N/A</v>
      </c>
      <c r="AE33" s="354"/>
      <c r="AF33" s="381"/>
      <c r="AI33" s="83">
        <v>31</v>
      </c>
      <c r="AJ33" s="83">
        <f>VLOOKUP(AI33,'Cブロック日程表（結果）'!$B$3:$S$53,18,0)</f>
        <v>20171210</v>
      </c>
      <c r="AK33" s="83">
        <f t="shared" ca="1" si="0"/>
        <v>-8896</v>
      </c>
    </row>
    <row r="34" spans="1:37" ht="15" customHeight="1">
      <c r="A34" s="364"/>
      <c r="B34" s="368"/>
      <c r="C34" s="372" t="e">
        <f ca="1">IF(E31="","","AR:"&amp;VLOOKUP(E31,'Cブロック日程表（結果）'!$B$3:$W$48,20,0)&amp;" /"&amp;VLOOKUP(E31,'Cブロック日程表（結果）'!$B$3:$W$48,21,0))</f>
        <v>#N/A</v>
      </c>
      <c r="D34" s="362"/>
      <c r="E34" s="363"/>
      <c r="F34" s="361" t="e">
        <f ca="1">IF(H31="","","AR:"&amp;VLOOKUP(H31,'Cブロック日程表（結果）'!$B$3:$W$48,20,0)&amp;" /"&amp;VLOOKUP(H31,'Cブロック日程表（結果）'!$B$3:$W$48,21,0))</f>
        <v>#N/A</v>
      </c>
      <c r="G34" s="362"/>
      <c r="H34" s="363"/>
      <c r="I34" s="361" t="e">
        <f ca="1">IF(K31="","","AR:"&amp;VLOOKUP(K31,'Cブロック日程表（結果）'!$B$3:$W$48,20,0)&amp;" /"&amp;VLOOKUP(K31,'Cブロック日程表（結果）'!$B$3:$W$48,21,0))</f>
        <v>#N/A</v>
      </c>
      <c r="J34" s="362"/>
      <c r="K34" s="363"/>
      <c r="L34" s="361" t="e">
        <f ca="1">IF(N31="","","AR:"&amp;VLOOKUP(N31,'Cブロック日程表（結果）'!$B$3:$W$48,20,0)&amp;" /"&amp;VLOOKUP(N31,'Cブロック日程表（結果）'!$B$3:$W$48,21,0))</f>
        <v>#N/A</v>
      </c>
      <c r="M34" s="362"/>
      <c r="N34" s="363"/>
      <c r="O34" s="361" t="e">
        <f ca="1">IF(Q31="","","AR:"&amp;VLOOKUP(Q31,'Cブロック日程表（結果）'!$B$3:$W$48,20,0)&amp;" /"&amp;VLOOKUP(Q31,'Cブロック日程表（結果）'!$B$3:$W$48,21,0))</f>
        <v>#N/A</v>
      </c>
      <c r="P34" s="362"/>
      <c r="Q34" s="363"/>
      <c r="R34" s="361" t="e">
        <f ca="1">IF(T31="","","AR:"&amp;VLOOKUP(T31,'Cブロック日程表（結果）'!$B$3:$W$48,20,0)&amp;" /"&amp;VLOOKUP(T31,'Cブロック日程表（結果）'!$B$3:$W$48,21,0))</f>
        <v>#N/A</v>
      </c>
      <c r="S34" s="362"/>
      <c r="T34" s="363"/>
      <c r="U34" s="361" t="e">
        <f ca="1">IF(W31="","","AR:"&amp;VLOOKUP(W31,'Cブロック日程表（結果）'!$B$3:$W$48,20,0)&amp;" /"&amp;VLOOKUP(W31,'Cブロック日程表（結果）'!$B$3:$W$48,21,0))</f>
        <v>#N/A</v>
      </c>
      <c r="V34" s="362"/>
      <c r="W34" s="363"/>
      <c r="X34" s="378"/>
      <c r="Y34" s="379"/>
      <c r="Z34" s="380"/>
      <c r="AA34" s="361" t="e">
        <f ca="1">IF(AC31="","","AR:"&amp;VLOOKUP(AC31,'Cブロック日程表（結果）'!$B$3:$W$48,20,0)&amp;" /"&amp;VLOOKUP(AC31,'Cブロック日程表（結果）'!$B$3:$W$48,21,0))</f>
        <v>#N/A</v>
      </c>
      <c r="AB34" s="362"/>
      <c r="AC34" s="363"/>
      <c r="AD34" s="362" t="e">
        <f ca="1">IF(AF31="","","AR:"&amp;VLOOKUP(AF31,'Cブロック日程表（結果）'!$B$3:$W$48,20,0)&amp;" /"&amp;VLOOKUP(AF31,'Cブロック日程表（結果）'!$B$3:$W$48,21,0))</f>
        <v>#N/A</v>
      </c>
      <c r="AE34" s="362"/>
      <c r="AF34" s="382"/>
      <c r="AI34" s="83">
        <v>32</v>
      </c>
      <c r="AJ34" s="83">
        <f>VLOOKUP(AI34,'Cブロック日程表（結果）'!$B$3:$S$53,18,0)</f>
        <v>20170702</v>
      </c>
      <c r="AK34" s="83">
        <f t="shared" ca="1" si="0"/>
        <v>-9404</v>
      </c>
    </row>
    <row r="35" spans="1:37" ht="15" customHeight="1">
      <c r="A35" s="364">
        <v>9</v>
      </c>
      <c r="B35" s="367" t="str">
        <f>'Cブロック日程表（結果）'!N64</f>
        <v>エルマーノ大阪サッカークラブ</v>
      </c>
      <c r="C35" s="369" t="e">
        <f ca="1">IF(E35="","",VLOOKUP(E35,'Cブロック日程表（結果）'!$B$3:$R$48,17,0))</f>
        <v>#N/A</v>
      </c>
      <c r="D35" s="370"/>
      <c r="E35" s="81" t="str">
        <f ca="1">IF(AC3="","",AC3)</f>
        <v>済</v>
      </c>
      <c r="F35" s="371" t="e">
        <f ca="1">IF(H35="","",VLOOKUP(H35,'Cブロック日程表（結果）'!$B$3:$R$48,17,0))</f>
        <v>#N/A</v>
      </c>
      <c r="G35" s="370"/>
      <c r="H35" s="81" t="str">
        <f ca="1">IF(AC7="","",AC7)</f>
        <v>済</v>
      </c>
      <c r="I35" s="371" t="e">
        <f ca="1">IF(K35="","",VLOOKUP(K35,'Cブロック日程表（結果）'!$B$3:$R$48,17,0))</f>
        <v>#N/A</v>
      </c>
      <c r="J35" s="370"/>
      <c r="K35" s="81" t="str">
        <f ca="1">IF(AC11="","",AC11)</f>
        <v>済</v>
      </c>
      <c r="L35" s="371" t="e">
        <f ca="1">IF(N35="","",VLOOKUP(N35,'Cブロック日程表（結果）'!$B$3:$R$48,17,0))</f>
        <v>#N/A</v>
      </c>
      <c r="M35" s="370"/>
      <c r="N35" s="81" t="str">
        <f ca="1">IF(AC15="","",AC15)</f>
        <v>済</v>
      </c>
      <c r="O35" s="371" t="e">
        <f ca="1">IF(Q35="","",VLOOKUP(Q35,'Cブロック日程表（結果）'!$B$3:$R$48,17,0))</f>
        <v>#N/A</v>
      </c>
      <c r="P35" s="370"/>
      <c r="Q35" s="81" t="str">
        <f ca="1">IF(AC19="","",AC19)</f>
        <v>済</v>
      </c>
      <c r="R35" s="371" t="e">
        <f ca="1">IF(T35="","",VLOOKUP(T35,'Cブロック日程表（結果）'!$B$3:$R$48,17,0))</f>
        <v>#N/A</v>
      </c>
      <c r="S35" s="370"/>
      <c r="T35" s="81" t="str">
        <f ca="1">IF(AC23="","",AC23)</f>
        <v>済</v>
      </c>
      <c r="U35" s="371" t="e">
        <f ca="1">IF(W35="","",VLOOKUP(W35,'Cブロック日程表（結果）'!$B$3:$R$48,17,0))</f>
        <v>#N/A</v>
      </c>
      <c r="V35" s="370"/>
      <c r="W35" s="81" t="str">
        <f ca="1">IF(AC27="","",AC27)</f>
        <v>済</v>
      </c>
      <c r="X35" s="371" t="e">
        <f ca="1">IF(Z35="","",VLOOKUP(Z35,'Cブロック日程表（結果）'!$B$3:$R$48,17,0))</f>
        <v>#N/A</v>
      </c>
      <c r="Y35" s="370"/>
      <c r="Z35" s="81" t="str">
        <f ca="1">IF(AC31="","",AC31)</f>
        <v>済</v>
      </c>
      <c r="AA35" s="373"/>
      <c r="AB35" s="374"/>
      <c r="AC35" s="375"/>
      <c r="AD35" s="370" t="e">
        <f ca="1">IF(AF35="","",VLOOKUP(AF35,'Cブロック日程表（結果）'!$B$3:$R$48,17,0))</f>
        <v>#N/A</v>
      </c>
      <c r="AE35" s="370"/>
      <c r="AF35" s="82" t="str">
        <f ca="1">IF(AJ47="","",IF(AK47&gt;=0,VLOOKUP(45,'Cブロック日程表（結果）'!$B$3:$T$48,19,0),"済"))</f>
        <v>済</v>
      </c>
      <c r="AI35" s="83">
        <v>33</v>
      </c>
      <c r="AJ35" s="83">
        <f>VLOOKUP(AI35,'Cブロック日程表（結果）'!$B$3:$S$53,18,0)</f>
        <v>20170730</v>
      </c>
      <c r="AK35" s="83">
        <f t="shared" ca="1" si="0"/>
        <v>-9376</v>
      </c>
    </row>
    <row r="36" spans="1:37" ht="15" customHeight="1">
      <c r="A36" s="364"/>
      <c r="B36" s="365"/>
      <c r="C36" s="353" t="e">
        <f ca="1">IF(E35="","",VLOOKUP(E35,'Cブロック日程表（結果）'!$B$3:$R$48,8,0)&amp;" KO"&amp;" ("&amp;VLOOKUP(E35,'Cブロック日程表（結果）'!$B$3:$W$48,22,0)&amp;")")</f>
        <v>#N/A</v>
      </c>
      <c r="D36" s="354"/>
      <c r="E36" s="355"/>
      <c r="F36" s="356" t="e">
        <f ca="1">IF(H35="","",VLOOKUP(H35,'Cブロック日程表（結果）'!$B$3:$R$48,8,0)&amp;" KO"&amp;" ("&amp;VLOOKUP(H35,'Cブロック日程表（結果）'!$B$3:$W$48,22,0)&amp;")")</f>
        <v>#N/A</v>
      </c>
      <c r="G36" s="354"/>
      <c r="H36" s="355"/>
      <c r="I36" s="356" t="e">
        <f ca="1">IF(K35="","",VLOOKUP(K35,'Cブロック日程表（結果）'!$B$3:$R$48,8,0)&amp;" KO"&amp;" ("&amp;VLOOKUP(K35,'Cブロック日程表（結果）'!$B$3:$W$48,22,0)&amp;")")</f>
        <v>#N/A</v>
      </c>
      <c r="J36" s="354"/>
      <c r="K36" s="355"/>
      <c r="L36" s="356" t="e">
        <f ca="1">IF(N35="","",VLOOKUP(N35,'Cブロック日程表（結果）'!$B$3:$R$48,8,0)&amp;" KO"&amp;" ("&amp;VLOOKUP(N35,'Cブロック日程表（結果）'!$B$3:$W$48,22,0)&amp;")")</f>
        <v>#N/A</v>
      </c>
      <c r="M36" s="354"/>
      <c r="N36" s="355"/>
      <c r="O36" s="356" t="e">
        <f ca="1">IF(Q35="","",VLOOKUP(Q35,'Cブロック日程表（結果）'!$B$3:$R$48,8,0)&amp;" KO"&amp;" ("&amp;VLOOKUP(Q35,'Cブロック日程表（結果）'!$B$3:$W$48,22,0)&amp;")")</f>
        <v>#N/A</v>
      </c>
      <c r="P36" s="354"/>
      <c r="Q36" s="355"/>
      <c r="R36" s="356" t="e">
        <f ca="1">IF(T35="","",VLOOKUP(T35,'Cブロック日程表（結果）'!$B$3:$R$48,8,0)&amp;" KO"&amp;" ("&amp;VLOOKUP(T35,'Cブロック日程表（結果）'!$B$3:$W$48,22,0)&amp;")")</f>
        <v>#N/A</v>
      </c>
      <c r="S36" s="354"/>
      <c r="T36" s="355"/>
      <c r="U36" s="356" t="e">
        <f ca="1">IF(W35="","",VLOOKUP(W35,'Cブロック日程表（結果）'!$B$3:$R$48,8,0)&amp;" KO"&amp;" ("&amp;VLOOKUP(W35,'Cブロック日程表（結果）'!$B$3:$W$48,22,0)&amp;")")</f>
        <v>#N/A</v>
      </c>
      <c r="V36" s="354"/>
      <c r="W36" s="355"/>
      <c r="X36" s="356" t="e">
        <f ca="1">IF(AC31="","",VLOOKUP(AC31,'Cブロック日程表（結果）'!$B$3:$R$48,8,0)&amp;" KO"&amp;" ("&amp;VLOOKUP(AC31,'Cブロック日程表（結果）'!$B$3:$W$48,22,0)&amp;")")</f>
        <v>#N/A</v>
      </c>
      <c r="Y36" s="354"/>
      <c r="Z36" s="355"/>
      <c r="AA36" s="376"/>
      <c r="AB36" s="349"/>
      <c r="AC36" s="377"/>
      <c r="AD36" s="354" t="e">
        <f ca="1">IF(AF35="","",VLOOKUP(AF35,'Cブロック日程表（結果）'!$B$3:$R$48,8,0)&amp;" KO"&amp;" ("&amp;VLOOKUP(Z27,'Cブロック日程表（結果）'!$B$3:$W$48,22,0)&amp;")")</f>
        <v>#N/A</v>
      </c>
      <c r="AE36" s="354"/>
      <c r="AF36" s="381"/>
      <c r="AI36" s="83">
        <v>34</v>
      </c>
      <c r="AJ36" s="83">
        <f>VLOOKUP(AI36,'Cブロック日程表（結果）'!$B$3:$S$53,18,0)</f>
        <v>20170903</v>
      </c>
      <c r="AK36" s="83">
        <f t="shared" ca="1" si="0"/>
        <v>-9203</v>
      </c>
    </row>
    <row r="37" spans="1:37" ht="15" customHeight="1">
      <c r="A37" s="364"/>
      <c r="B37" s="365"/>
      <c r="C37" s="353" t="e">
        <f ca="1">IF(E35="","",VLOOKUP(E35,'Cブロック日程表（結果）'!$B$3:$R$48,7,0))</f>
        <v>#N/A</v>
      </c>
      <c r="D37" s="354"/>
      <c r="E37" s="355"/>
      <c r="F37" s="356" t="e">
        <f ca="1">IF(H35="","",VLOOKUP(H35,'Cブロック日程表（結果）'!$B$3:$R$48,7,0))</f>
        <v>#N/A</v>
      </c>
      <c r="G37" s="354"/>
      <c r="H37" s="355"/>
      <c r="I37" s="356" t="e">
        <f ca="1">IF(K35="","",VLOOKUP(K35,'Cブロック日程表（結果）'!$B$3:$R$48,7,0))</f>
        <v>#N/A</v>
      </c>
      <c r="J37" s="354"/>
      <c r="K37" s="355"/>
      <c r="L37" s="356" t="e">
        <f ca="1">IF(N35="","",VLOOKUP(N35,'Cブロック日程表（結果）'!$B$3:$R$48,7,0))</f>
        <v>#N/A</v>
      </c>
      <c r="M37" s="354"/>
      <c r="N37" s="355"/>
      <c r="O37" s="356" t="e">
        <f ca="1">IF(Q35="","",VLOOKUP(Q35,'Cブロック日程表（結果）'!$B$3:$R$48,7,0))</f>
        <v>#N/A</v>
      </c>
      <c r="P37" s="354"/>
      <c r="Q37" s="355"/>
      <c r="R37" s="356" t="e">
        <f ca="1">IF(T35="","",VLOOKUP(T35,'Cブロック日程表（結果）'!$B$3:$R$48,7,0))</f>
        <v>#N/A</v>
      </c>
      <c r="S37" s="354"/>
      <c r="T37" s="355"/>
      <c r="U37" s="356" t="e">
        <f ca="1">IF(W35="","",VLOOKUP(W35,'Cブロック日程表（結果）'!$B$3:$R$48,7,0))</f>
        <v>#N/A</v>
      </c>
      <c r="V37" s="354"/>
      <c r="W37" s="355"/>
      <c r="X37" s="356" t="e">
        <f ca="1">IF(Z35="","",VLOOKUP(Z35,'Cブロック日程表（結果）'!$B$3:$R$48,7,0))</f>
        <v>#N/A</v>
      </c>
      <c r="Y37" s="354"/>
      <c r="Z37" s="355"/>
      <c r="AA37" s="376"/>
      <c r="AB37" s="349"/>
      <c r="AC37" s="377"/>
      <c r="AD37" s="354" t="e">
        <f ca="1">IF(AF35="","",VLOOKUP(AF35,'Cブロック日程表（結果）'!$B$3:$R$48,7,0))</f>
        <v>#N/A</v>
      </c>
      <c r="AE37" s="354"/>
      <c r="AF37" s="381"/>
      <c r="AI37" s="83">
        <v>35</v>
      </c>
      <c r="AJ37" s="83">
        <f>VLOOKUP(AI37,'Cブロック日程表（結果）'!$B$3:$S$53,18,0)</f>
        <v>20171112</v>
      </c>
      <c r="AK37" s="83">
        <f t="shared" ca="1" si="0"/>
        <v>-8994</v>
      </c>
    </row>
    <row r="38" spans="1:37" ht="15" customHeight="1">
      <c r="A38" s="364"/>
      <c r="B38" s="368"/>
      <c r="C38" s="372" t="e">
        <f ca="1">IF(E35="","","AR:"&amp;VLOOKUP(E35,'Cブロック日程表（結果）'!$B$3:$W$48,20,0)&amp;" /"&amp;VLOOKUP(E35,'Cブロック日程表（結果）'!$B$3:$W$48,21,0))</f>
        <v>#N/A</v>
      </c>
      <c r="D38" s="362"/>
      <c r="E38" s="363"/>
      <c r="F38" s="361" t="e">
        <f ca="1">IF(H35="","","AR:"&amp;VLOOKUP(H35,'Cブロック日程表（結果）'!$B$3:$W$48,20,0)&amp;" /"&amp;VLOOKUP(H35,'Cブロック日程表（結果）'!$B$3:$W$48,21,0))</f>
        <v>#N/A</v>
      </c>
      <c r="G38" s="362"/>
      <c r="H38" s="363"/>
      <c r="I38" s="361" t="e">
        <f ca="1">IF(K35="","","AR:"&amp;VLOOKUP(K35,'Cブロック日程表（結果）'!$B$3:$W$48,20,0)&amp;" /"&amp;VLOOKUP(K35,'Cブロック日程表（結果）'!$B$3:$W$48,21,0))</f>
        <v>#N/A</v>
      </c>
      <c r="J38" s="362"/>
      <c r="K38" s="363"/>
      <c r="L38" s="361" t="e">
        <f ca="1">IF(N35="","","AR:"&amp;VLOOKUP(N35,'Cブロック日程表（結果）'!$B$3:$W$48,20,0)&amp;" /"&amp;VLOOKUP(N35,'Cブロック日程表（結果）'!$B$3:$W$48,21,0))</f>
        <v>#N/A</v>
      </c>
      <c r="M38" s="362"/>
      <c r="N38" s="363"/>
      <c r="O38" s="361" t="e">
        <f ca="1">IF(Q35="","","AR:"&amp;VLOOKUP(Q35,'Cブロック日程表（結果）'!$B$3:$W$48,20,0)&amp;" /"&amp;VLOOKUP(Q35,'Cブロック日程表（結果）'!$B$3:$W$48,21,0))</f>
        <v>#N/A</v>
      </c>
      <c r="P38" s="362"/>
      <c r="Q38" s="363"/>
      <c r="R38" s="361" t="e">
        <f ca="1">IF(T35="","","AR:"&amp;VLOOKUP(T35,'Cブロック日程表（結果）'!$B$3:$W$48,20,0)&amp;" /"&amp;VLOOKUP(T35,'Cブロック日程表（結果）'!$B$3:$W$48,21,0))</f>
        <v>#N/A</v>
      </c>
      <c r="S38" s="362"/>
      <c r="T38" s="363"/>
      <c r="U38" s="361" t="e">
        <f ca="1">IF(W35="","","AR:"&amp;VLOOKUP(W35,'Cブロック日程表（結果）'!$B$3:$W$48,20,0)&amp;" /"&amp;VLOOKUP(W35,'Cブロック日程表（結果）'!$B$3:$W$48,21,0))</f>
        <v>#N/A</v>
      </c>
      <c r="V38" s="362"/>
      <c r="W38" s="363"/>
      <c r="X38" s="361" t="e">
        <f ca="1">IF(AC31="","","AR:"&amp;VLOOKUP(AC31,'Cブロック日程表（結果）'!$B$3:$W$48,20,0)&amp;" /"&amp;VLOOKUP(AC31,'Cブロック日程表（結果）'!$B$3:$W$48,21,0))</f>
        <v>#N/A</v>
      </c>
      <c r="Y38" s="362"/>
      <c r="Z38" s="363"/>
      <c r="AA38" s="378"/>
      <c r="AB38" s="379"/>
      <c r="AC38" s="380"/>
      <c r="AD38" s="362" t="e">
        <f ca="1">IF(AF35="","","AR:"&amp;VLOOKUP(AF35,'Cブロック日程表（結果）'!$B$3:$W$48,20,0)&amp;" /"&amp;VLOOKUP(Z27,'Cブロック日程表（結果）'!$B$3:$W$48,21,0))</f>
        <v>#N/A</v>
      </c>
      <c r="AE38" s="362"/>
      <c r="AF38" s="382"/>
      <c r="AI38" s="83">
        <v>36</v>
      </c>
      <c r="AJ38" s="83">
        <f>VLOOKUP(AI38,'Cブロック日程表（結果）'!$B$3:$S$53,18,0)</f>
        <v>20171203</v>
      </c>
      <c r="AK38" s="83">
        <f t="shared" ca="1" si="0"/>
        <v>-8903</v>
      </c>
    </row>
    <row r="39" spans="1:37" ht="15" customHeight="1">
      <c r="A39" s="364">
        <v>10</v>
      </c>
      <c r="B39" s="365" t="str">
        <f>'Cブロック日程表（結果）'!N65</f>
        <v>FCボニート</v>
      </c>
      <c r="C39" s="353" t="e">
        <f ca="1">IF(E39="","",VLOOKUP(E39,'Cブロック日程表（結果）'!$B$3:$R$48,17,0))</f>
        <v>#N/A</v>
      </c>
      <c r="D39" s="354"/>
      <c r="E39" s="85" t="str">
        <f ca="1">IF(AF3="","",AF3)</f>
        <v>済</v>
      </c>
      <c r="F39" s="356" t="e">
        <f ca="1">IF(H39="","",VLOOKUP(H39,'Cブロック日程表（結果）'!$B$3:$R$48,17,0))</f>
        <v>#N/A</v>
      </c>
      <c r="G39" s="354"/>
      <c r="H39" s="85" t="str">
        <f ca="1">IF(AF7="","",AF7)</f>
        <v>済</v>
      </c>
      <c r="I39" s="356" t="e">
        <f ca="1">IF(K39="","",VLOOKUP(K39,'Cブロック日程表（結果）'!$B$3:$R$48,17,0))</f>
        <v>#N/A</v>
      </c>
      <c r="J39" s="354"/>
      <c r="K39" s="85" t="str">
        <f ca="1">IF(AF11="","",AF11)</f>
        <v>済</v>
      </c>
      <c r="L39" s="356" t="e">
        <f ca="1">IF(N39="","",VLOOKUP(N39,'Cブロック日程表（結果）'!$B$3:$R$48,17,0))</f>
        <v>#N/A</v>
      </c>
      <c r="M39" s="354"/>
      <c r="N39" s="85" t="str">
        <f ca="1">IF(AF15="","",AF15)</f>
        <v>済</v>
      </c>
      <c r="O39" s="356" t="e">
        <f ca="1">IF(Q39="","",VLOOKUP(Q39,'Cブロック日程表（結果）'!$B$3:$R$48,17,0))</f>
        <v>#N/A</v>
      </c>
      <c r="P39" s="354"/>
      <c r="Q39" s="85" t="str">
        <f ca="1">IF(AF19="","",AF19)</f>
        <v>済</v>
      </c>
      <c r="R39" s="356" t="e">
        <f ca="1">IF(T39="","",VLOOKUP(T39,'Cブロック日程表（結果）'!$B$3:$R$48,17,0))</f>
        <v>#N/A</v>
      </c>
      <c r="S39" s="354"/>
      <c r="T39" s="85" t="str">
        <f ca="1">IF(AF23="","",AF23)</f>
        <v>済</v>
      </c>
      <c r="U39" s="356" t="e">
        <f ca="1">IF(W39="","",VLOOKUP(W39,'Cブロック日程表（結果）'!$B$3:$R$48,17,0))</f>
        <v>#N/A</v>
      </c>
      <c r="V39" s="354"/>
      <c r="W39" s="85" t="str">
        <f ca="1">IF(AF27="","",AF27)</f>
        <v>済</v>
      </c>
      <c r="X39" s="356" t="e">
        <f ca="1">IF(Z39="","",VLOOKUP(Z39,'Cブロック日程表（結果）'!$B$3:$R$48,17,0))</f>
        <v>#N/A</v>
      </c>
      <c r="Y39" s="354"/>
      <c r="Z39" s="85" t="str">
        <f ca="1">IF(AF31="","",AF31)</f>
        <v>済</v>
      </c>
      <c r="AA39" s="356" t="e">
        <f ca="1">IF(AC39="","",VLOOKUP(AC39,'Cブロック日程表（結果）'!$B$3:$R$48,17,0))</f>
        <v>#N/A</v>
      </c>
      <c r="AB39" s="354"/>
      <c r="AC39" s="85" t="str">
        <f ca="1">IF(AF35="","",AF35)</f>
        <v>済</v>
      </c>
      <c r="AD39" s="349"/>
      <c r="AE39" s="349"/>
      <c r="AF39" s="350"/>
      <c r="AI39" s="83">
        <v>37</v>
      </c>
      <c r="AJ39" s="83">
        <f>VLOOKUP(AI39,'Cブロック日程表（結果）'!$B$3:$S$53,18,0)</f>
        <v>20170625</v>
      </c>
      <c r="AK39" s="83">
        <f t="shared" ca="1" si="0"/>
        <v>-9481</v>
      </c>
    </row>
    <row r="40" spans="1:37" ht="15" customHeight="1">
      <c r="A40" s="364"/>
      <c r="B40" s="365"/>
      <c r="C40" s="353" t="e">
        <f ca="1">IF(E39="","",VLOOKUP(E39,'Cブロック日程表（結果）'!$B$3:$R$48,8,0)&amp;" KO"&amp;" ("&amp;VLOOKUP(E39,'Cブロック日程表（結果）'!$B$3:$W$48,22,0)&amp;")")</f>
        <v>#N/A</v>
      </c>
      <c r="D40" s="354"/>
      <c r="E40" s="355"/>
      <c r="F40" s="356" t="e">
        <f ca="1">IF(H39="","",VLOOKUP(H39,'Cブロック日程表（結果）'!$B$3:$R$48,8,0)&amp;" KO"&amp;" ("&amp;VLOOKUP(H39,'Cブロック日程表（結果）'!$B$3:$W$48,22,0)&amp;")")</f>
        <v>#N/A</v>
      </c>
      <c r="G40" s="354"/>
      <c r="H40" s="355"/>
      <c r="I40" s="356" t="e">
        <f ca="1">IF(K39="","",VLOOKUP(K39,'Cブロック日程表（結果）'!$B$3:$R$48,8,0)&amp;" KO"&amp;" ("&amp;VLOOKUP(K39,'Cブロック日程表（結果）'!$B$3:$W$48,22,0)&amp;")")</f>
        <v>#N/A</v>
      </c>
      <c r="J40" s="354"/>
      <c r="K40" s="355"/>
      <c r="L40" s="356" t="e">
        <f ca="1">IF(N39="","",VLOOKUP(N39,'Cブロック日程表（結果）'!$B$3:$R$48,8,0)&amp;" KO"&amp;" ("&amp;VLOOKUP(N39,'Cブロック日程表（結果）'!$B$3:$W$48,22,0)&amp;")")</f>
        <v>#N/A</v>
      </c>
      <c r="M40" s="354"/>
      <c r="N40" s="355"/>
      <c r="O40" s="356" t="e">
        <f ca="1">IF(Q39="","",VLOOKUP(Q39,'Cブロック日程表（結果）'!$B$3:$R$48,8,0)&amp;" KO"&amp;" ("&amp;VLOOKUP(Q39,'Cブロック日程表（結果）'!$B$3:$W$48,22,0)&amp;")")</f>
        <v>#N/A</v>
      </c>
      <c r="P40" s="354"/>
      <c r="Q40" s="355"/>
      <c r="R40" s="356" t="e">
        <f ca="1">IF(T39="","",VLOOKUP(T39,'Cブロック日程表（結果）'!$B$3:$R$48,8,0)&amp;" KO"&amp;" ("&amp;VLOOKUP(T39,'Cブロック日程表（結果）'!$B$3:$W$48,22,0)&amp;")")</f>
        <v>#N/A</v>
      </c>
      <c r="S40" s="354"/>
      <c r="T40" s="355"/>
      <c r="U40" s="356" t="e">
        <f ca="1">IF(W39="","",VLOOKUP(W39,'Cブロック日程表（結果）'!$B$3:$R$48,8,0)&amp;" KO"&amp;" ("&amp;VLOOKUP(W39,'Cブロック日程表（結果）'!$B$3:$W$48,22,0)&amp;")")</f>
        <v>#N/A</v>
      </c>
      <c r="V40" s="354"/>
      <c r="W40" s="355"/>
      <c r="X40" s="356" t="e">
        <f ca="1">IF(Z39="","",VLOOKUP(Z39,'Cブロック日程表（結果）'!$B$3:$R$48,8,0)&amp;" KO"&amp;" ("&amp;VLOOKUP(Z39,'Cブロック日程表（結果）'!$B$3:$W$48,22,0)&amp;")")</f>
        <v>#N/A</v>
      </c>
      <c r="Y40" s="354"/>
      <c r="Z40" s="355"/>
      <c r="AA40" s="356" t="e">
        <f ca="1">IF(AC39="","",VLOOKUP(AC39,'Cブロック日程表（結果）'!$B$3:$R$48,8,0)&amp;" KO"&amp;" ("&amp;VLOOKUP(Z27,'Cブロック日程表（結果）'!$B$3:$W$48,22,0)&amp;")")</f>
        <v>#N/A</v>
      </c>
      <c r="AB40" s="354"/>
      <c r="AC40" s="355"/>
      <c r="AD40" s="349"/>
      <c r="AE40" s="349"/>
      <c r="AF40" s="350"/>
      <c r="AI40" s="83">
        <v>38</v>
      </c>
      <c r="AJ40" s="83">
        <f>VLOOKUP(AI40,'Cブロック日程表（結果）'!$B$3:$S$53,18,0)</f>
        <v>20170730</v>
      </c>
      <c r="AK40" s="83">
        <f t="shared" ca="1" si="0"/>
        <v>-9376</v>
      </c>
    </row>
    <row r="41" spans="1:37" ht="15" customHeight="1">
      <c r="A41" s="364"/>
      <c r="B41" s="365"/>
      <c r="C41" s="353" t="e">
        <f ca="1">IF(E39="","",VLOOKUP(E39,'Cブロック日程表（結果）'!$B$3:$R$48,7,0))</f>
        <v>#N/A</v>
      </c>
      <c r="D41" s="354"/>
      <c r="E41" s="355"/>
      <c r="F41" s="356" t="e">
        <f ca="1">IF(H39="","",VLOOKUP(H39,'Cブロック日程表（結果）'!$B$3:$R$48,7,0))</f>
        <v>#N/A</v>
      </c>
      <c r="G41" s="354"/>
      <c r="H41" s="355"/>
      <c r="I41" s="356" t="e">
        <f ca="1">IF(K39="","",VLOOKUP(K39,'Cブロック日程表（結果）'!$B$3:$R$48,7,0))</f>
        <v>#N/A</v>
      </c>
      <c r="J41" s="354"/>
      <c r="K41" s="355"/>
      <c r="L41" s="356" t="e">
        <f ca="1">IF(N39="","",VLOOKUP(N39,'Cブロック日程表（結果）'!$B$3:$R$48,7,0))</f>
        <v>#N/A</v>
      </c>
      <c r="M41" s="354"/>
      <c r="N41" s="355"/>
      <c r="O41" s="356" t="e">
        <f ca="1">IF(Q39="","",VLOOKUP(Q39,'Cブロック日程表（結果）'!$B$3:$R$48,7,0))</f>
        <v>#N/A</v>
      </c>
      <c r="P41" s="354"/>
      <c r="Q41" s="355"/>
      <c r="R41" s="356" t="e">
        <f ca="1">IF(T39="","",VLOOKUP(T39,'Cブロック日程表（結果）'!$B$3:$R$48,7,0))</f>
        <v>#N/A</v>
      </c>
      <c r="S41" s="354"/>
      <c r="T41" s="355"/>
      <c r="U41" s="356" t="e">
        <f ca="1">IF(W39="","",VLOOKUP(W39,'Cブロック日程表（結果）'!$B$3:$R$48,7,0))</f>
        <v>#N/A</v>
      </c>
      <c r="V41" s="354"/>
      <c r="W41" s="355"/>
      <c r="X41" s="356" t="e">
        <f ca="1">IF(Z39="","",VLOOKUP(Z39,'Cブロック日程表（結果）'!$B$3:$R$48,7,0))</f>
        <v>#N/A</v>
      </c>
      <c r="Y41" s="354"/>
      <c r="Z41" s="355"/>
      <c r="AA41" s="356" t="e">
        <f ca="1">IF(AC39="","",VLOOKUP(AC39,'Cブロック日程表（結果）'!$B$3:$R$48,7,0))</f>
        <v>#N/A</v>
      </c>
      <c r="AB41" s="354"/>
      <c r="AC41" s="355"/>
      <c r="AD41" s="349"/>
      <c r="AE41" s="349"/>
      <c r="AF41" s="350"/>
      <c r="AI41" s="83">
        <v>39</v>
      </c>
      <c r="AJ41" s="83">
        <f>VLOOKUP(AI41,'Cブロック日程表（結果）'!$B$3:$S$53,18,0)</f>
        <v>20170910</v>
      </c>
      <c r="AK41" s="83">
        <f t="shared" ca="1" si="0"/>
        <v>-9196</v>
      </c>
    </row>
    <row r="42" spans="1:37" ht="15" customHeight="1" thickBot="1">
      <c r="A42" s="364"/>
      <c r="B42" s="366"/>
      <c r="C42" s="357" t="e">
        <f ca="1">IF(E39="","","AR:"&amp;VLOOKUP(E39,'Cブロック日程表（結果）'!$B$3:$W$48,20,0)&amp;" /"&amp;VLOOKUP(E39,'Cブロック日程表（結果）'!$B$3:$W$48,21,0))</f>
        <v>#N/A</v>
      </c>
      <c r="D42" s="358"/>
      <c r="E42" s="359"/>
      <c r="F42" s="360" t="e">
        <f ca="1">IF(H39="","","AR:"&amp;VLOOKUP(H39,'Cブロック日程表（結果）'!$B$3:$W$48,20,0)&amp;" /"&amp;VLOOKUP(H39,'Cブロック日程表（結果）'!$B$3:$W$48,21,0))</f>
        <v>#N/A</v>
      </c>
      <c r="G42" s="358"/>
      <c r="H42" s="359"/>
      <c r="I42" s="360" t="e">
        <f ca="1">IF(K39="","","AR:"&amp;VLOOKUP(K39,'Cブロック日程表（結果）'!$B$3:$W$48,20,0)&amp;" /"&amp;VLOOKUP(K39,'Cブロック日程表（結果）'!$B$3:$W$48,21,0))</f>
        <v>#N/A</v>
      </c>
      <c r="J42" s="358"/>
      <c r="K42" s="359"/>
      <c r="L42" s="360" t="e">
        <f ca="1">IF(N39="","","AR:"&amp;VLOOKUP(N39,'Cブロック日程表（結果）'!$B$3:$W$48,20,0)&amp;" /"&amp;VLOOKUP(N39,'Cブロック日程表（結果）'!$B$3:$W$48,21,0))</f>
        <v>#N/A</v>
      </c>
      <c r="M42" s="358"/>
      <c r="N42" s="359"/>
      <c r="O42" s="360" t="e">
        <f ca="1">IF(Q39="","","AR:"&amp;VLOOKUP(Q39,'Cブロック日程表（結果）'!$B$3:$W$48,20,0)&amp;" /"&amp;VLOOKUP(Q39,'Cブロック日程表（結果）'!$B$3:$W$48,21,0))</f>
        <v>#N/A</v>
      </c>
      <c r="P42" s="358"/>
      <c r="Q42" s="359"/>
      <c r="R42" s="360" t="e">
        <f ca="1">IF(T39="","","AR:"&amp;VLOOKUP(T39,'Cブロック日程表（結果）'!$B$3:$W$48,20,0)&amp;" /"&amp;VLOOKUP(T39,'Cブロック日程表（結果）'!$B$3:$W$48,21,0))</f>
        <v>#N/A</v>
      </c>
      <c r="S42" s="358"/>
      <c r="T42" s="359"/>
      <c r="U42" s="360" t="e">
        <f ca="1">IF(W39="","","AR:"&amp;VLOOKUP(W39,'Cブロック日程表（結果）'!$B$3:$W$48,20,0)&amp;" /"&amp;VLOOKUP(W39,'Cブロック日程表（結果）'!$B$3:$W$48,21,0))</f>
        <v>#N/A</v>
      </c>
      <c r="V42" s="358"/>
      <c r="W42" s="359"/>
      <c r="X42" s="360" t="e">
        <f ca="1">IF(Z39="","","AR:"&amp;VLOOKUP(Z39,'Cブロック日程表（結果）'!$B$3:$W$48,20,0)&amp;" /"&amp;VLOOKUP(Z39,'Cブロック日程表（結果）'!$B$3:$W$48,21,0))</f>
        <v>#N/A</v>
      </c>
      <c r="Y42" s="358"/>
      <c r="Z42" s="359"/>
      <c r="AA42" s="360" t="e">
        <f ca="1">IF(AC39="","","AR:"&amp;VLOOKUP(AC39,'Cブロック日程表（結果）'!$B$3:$W$48,20,0)&amp;" /"&amp;VLOOKUP(Z27,'Cブロック日程表（結果）'!$B$3:$W$48,21,0))</f>
        <v>#N/A</v>
      </c>
      <c r="AB42" s="358"/>
      <c r="AC42" s="359"/>
      <c r="AD42" s="351"/>
      <c r="AE42" s="351"/>
      <c r="AF42" s="352"/>
      <c r="AI42" s="83">
        <v>40</v>
      </c>
      <c r="AJ42" s="83">
        <f>VLOOKUP(AI42,'Cブロック日程表（結果）'!$B$3:$S$53,18,0)</f>
        <v>20170723</v>
      </c>
      <c r="AK42" s="83">
        <f t="shared" ca="1" si="0"/>
        <v>-9383</v>
      </c>
    </row>
    <row r="43" spans="1:37" ht="15.75" customHeight="1">
      <c r="B43" s="51" t="s">
        <v>64</v>
      </c>
      <c r="AI43" s="83">
        <v>41</v>
      </c>
      <c r="AJ43" s="83">
        <f>VLOOKUP(AI43,'Cブロック日程表（結果）'!$B$3:$S$53,18,0)</f>
        <v>20171105</v>
      </c>
      <c r="AK43" s="83">
        <f t="shared" ca="1" si="0"/>
        <v>-9001</v>
      </c>
    </row>
    <row r="44" spans="1:37" ht="16.5" customHeight="1">
      <c r="AI44" s="83">
        <v>42</v>
      </c>
      <c r="AJ44" s="83">
        <f>VLOOKUP(AI44,'Cブロック日程表（結果）'!$B$3:$S$53,18,0)</f>
        <v>20170611</v>
      </c>
      <c r="AK44" s="83">
        <f t="shared" ca="1" si="0"/>
        <v>-9495</v>
      </c>
    </row>
    <row r="45" spans="1:37" ht="16.5" customHeight="1">
      <c r="AI45" s="83">
        <v>43</v>
      </c>
      <c r="AJ45" s="83">
        <f>VLOOKUP(AI45,'Cブロック日程表（結果）'!$B$3:$S$53,18,0)</f>
        <v>20171119</v>
      </c>
      <c r="AK45" s="83">
        <f t="shared" ca="1" si="0"/>
        <v>-8987</v>
      </c>
    </row>
    <row r="46" spans="1:37" ht="16.5" customHeight="1">
      <c r="AI46" s="83">
        <v>44</v>
      </c>
      <c r="AJ46" s="83">
        <f>VLOOKUP(AI46,'Cブロック日程表（結果）'!$B$3:$S$53,18,0)</f>
        <v>20171015</v>
      </c>
      <c r="AK46" s="83">
        <f t="shared" ca="1" si="0"/>
        <v>-9091</v>
      </c>
    </row>
    <row r="47" spans="1:37" ht="16.5" customHeight="1">
      <c r="AI47" s="83">
        <v>45</v>
      </c>
      <c r="AJ47" s="83">
        <f>VLOOKUP(AI47,'Cブロック日程表（結果）'!$B$3:$S$53,18,0)</f>
        <v>20170806</v>
      </c>
      <c r="AK47" s="83">
        <f t="shared" ca="1" si="0"/>
        <v>-9300</v>
      </c>
    </row>
    <row r="48" spans="1:37" ht="16.5" customHeight="1"/>
    <row r="49" ht="16.5" customHeight="1"/>
    <row r="50" ht="16.5" customHeight="1"/>
    <row r="51" ht="16.5" customHeight="1"/>
    <row r="52" ht="16.5" customHeight="1"/>
    <row r="53" ht="16.5" customHeight="1"/>
    <row r="55" ht="13.5" customHeight="1"/>
    <row r="56" ht="13.5" customHeight="1"/>
  </sheetData>
  <mergeCells count="401">
    <mergeCell ref="B15:B18"/>
    <mergeCell ref="C14:E14"/>
    <mergeCell ref="B31:B34"/>
    <mergeCell ref="B11:B14"/>
    <mergeCell ref="C32:E32"/>
    <mergeCell ref="B3:B6"/>
    <mergeCell ref="B7:B10"/>
    <mergeCell ref="C3:E6"/>
    <mergeCell ref="B27:B30"/>
    <mergeCell ref="B23:B26"/>
    <mergeCell ref="C27:D27"/>
    <mergeCell ref="C9:E9"/>
    <mergeCell ref="C7:D7"/>
    <mergeCell ref="C18:E18"/>
    <mergeCell ref="C30:E30"/>
    <mergeCell ref="C12:E12"/>
    <mergeCell ref="C13:E13"/>
    <mergeCell ref="B19:B22"/>
    <mergeCell ref="C10:E10"/>
    <mergeCell ref="C8:E8"/>
    <mergeCell ref="F14:H14"/>
    <mergeCell ref="I25:K25"/>
    <mergeCell ref="I24:K24"/>
    <mergeCell ref="C25:E25"/>
    <mergeCell ref="F11:G11"/>
    <mergeCell ref="C15:D15"/>
    <mergeCell ref="I17:K17"/>
    <mergeCell ref="U34:W34"/>
    <mergeCell ref="O31:P31"/>
    <mergeCell ref="L34:N34"/>
    <mergeCell ref="O27:P27"/>
    <mergeCell ref="R30:T30"/>
    <mergeCell ref="U25:W25"/>
    <mergeCell ref="L30:N30"/>
    <mergeCell ref="L29:N29"/>
    <mergeCell ref="O30:Q30"/>
    <mergeCell ref="O29:Q29"/>
    <mergeCell ref="L28:N28"/>
    <mergeCell ref="O13:Q13"/>
    <mergeCell ref="O14:Q14"/>
    <mergeCell ref="C17:E17"/>
    <mergeCell ref="C11:D11"/>
    <mergeCell ref="C16:E16"/>
    <mergeCell ref="F25:H25"/>
    <mergeCell ref="B1:I1"/>
    <mergeCell ref="I11:K14"/>
    <mergeCell ref="C2:E2"/>
    <mergeCell ref="F2:H2"/>
    <mergeCell ref="I8:K8"/>
    <mergeCell ref="F33:H33"/>
    <mergeCell ref="I34:K34"/>
    <mergeCell ref="R33:T33"/>
    <mergeCell ref="U31:V31"/>
    <mergeCell ref="R34:T34"/>
    <mergeCell ref="U32:W32"/>
    <mergeCell ref="F34:H34"/>
    <mergeCell ref="U33:W33"/>
    <mergeCell ref="R32:T32"/>
    <mergeCell ref="R31:S31"/>
    <mergeCell ref="F32:H32"/>
    <mergeCell ref="I33:K33"/>
    <mergeCell ref="O34:Q34"/>
    <mergeCell ref="U27:W30"/>
    <mergeCell ref="R28:T28"/>
    <mergeCell ref="R29:T29"/>
    <mergeCell ref="R27:S27"/>
    <mergeCell ref="O25:Q25"/>
    <mergeCell ref="O33:Q33"/>
    <mergeCell ref="X19:Y19"/>
    <mergeCell ref="O19:Q22"/>
    <mergeCell ref="O17:Q17"/>
    <mergeCell ref="R16:T16"/>
    <mergeCell ref="O24:Q24"/>
    <mergeCell ref="O23:P23"/>
    <mergeCell ref="U18:W18"/>
    <mergeCell ref="X22:Z22"/>
    <mergeCell ref="X26:Z26"/>
    <mergeCell ref="U26:W26"/>
    <mergeCell ref="U22:W22"/>
    <mergeCell ref="O26:Q26"/>
    <mergeCell ref="R20:T20"/>
    <mergeCell ref="X23:Y23"/>
    <mergeCell ref="R23:T26"/>
    <mergeCell ref="F13:H13"/>
    <mergeCell ref="R21:T21"/>
    <mergeCell ref="X2:Z2"/>
    <mergeCell ref="X7:Y7"/>
    <mergeCell ref="X4:Z4"/>
    <mergeCell ref="L14:N14"/>
    <mergeCell ref="X18:Z18"/>
    <mergeCell ref="R13:T13"/>
    <mergeCell ref="L13:N13"/>
    <mergeCell ref="U2:W2"/>
    <mergeCell ref="L15:N18"/>
    <mergeCell ref="R3:S3"/>
    <mergeCell ref="I16:K16"/>
    <mergeCell ref="I15:J15"/>
    <mergeCell ref="F16:H16"/>
    <mergeCell ref="F5:H5"/>
    <mergeCell ref="F15:G15"/>
    <mergeCell ref="F20:H20"/>
    <mergeCell ref="F17:H17"/>
    <mergeCell ref="O18:Q18"/>
    <mergeCell ref="O11:P11"/>
    <mergeCell ref="X16:Z16"/>
    <mergeCell ref="X20:Z20"/>
    <mergeCell ref="X17:Z17"/>
    <mergeCell ref="I18:K18"/>
    <mergeCell ref="L21:N21"/>
    <mergeCell ref="I26:K26"/>
    <mergeCell ref="I27:J27"/>
    <mergeCell ref="C21:E21"/>
    <mergeCell ref="C23:D23"/>
    <mergeCell ref="L23:M23"/>
    <mergeCell ref="I21:K21"/>
    <mergeCell ref="L20:N20"/>
    <mergeCell ref="F26:H26"/>
    <mergeCell ref="C20:E20"/>
    <mergeCell ref="F23:G23"/>
    <mergeCell ref="C24:E24"/>
    <mergeCell ref="L24:N24"/>
    <mergeCell ref="F18:H18"/>
    <mergeCell ref="C22:E22"/>
    <mergeCell ref="F19:G19"/>
    <mergeCell ref="F27:G27"/>
    <mergeCell ref="F22:H22"/>
    <mergeCell ref="C26:E26"/>
    <mergeCell ref="L26:N26"/>
    <mergeCell ref="L27:M27"/>
    <mergeCell ref="L25:N25"/>
    <mergeCell ref="I30:K30"/>
    <mergeCell ref="C19:D19"/>
    <mergeCell ref="I23:J23"/>
    <mergeCell ref="I20:K20"/>
    <mergeCell ref="I22:K22"/>
    <mergeCell ref="L22:N22"/>
    <mergeCell ref="L19:M19"/>
    <mergeCell ref="F21:H21"/>
    <mergeCell ref="F30:H30"/>
    <mergeCell ref="C29:E29"/>
    <mergeCell ref="I29:K29"/>
    <mergeCell ref="I28:K28"/>
    <mergeCell ref="I19:J19"/>
    <mergeCell ref="F24:H24"/>
    <mergeCell ref="C28:E28"/>
    <mergeCell ref="F28:H28"/>
    <mergeCell ref="F29:H29"/>
    <mergeCell ref="F12:H12"/>
    <mergeCell ref="I2:K2"/>
    <mergeCell ref="L2:N2"/>
    <mergeCell ref="O9:Q9"/>
    <mergeCell ref="O5:Q5"/>
    <mergeCell ref="O3:P3"/>
    <mergeCell ref="O7:P7"/>
    <mergeCell ref="O2:Q2"/>
    <mergeCell ref="O6:Q6"/>
    <mergeCell ref="O10:Q10"/>
    <mergeCell ref="O12:Q12"/>
    <mergeCell ref="I9:K9"/>
    <mergeCell ref="R6:T6"/>
    <mergeCell ref="R2:T2"/>
    <mergeCell ref="R8:T8"/>
    <mergeCell ref="F7:H10"/>
    <mergeCell ref="O8:Q8"/>
    <mergeCell ref="O4:Q4"/>
    <mergeCell ref="L6:N6"/>
    <mergeCell ref="L7:M7"/>
    <mergeCell ref="I4:K4"/>
    <mergeCell ref="L4:N4"/>
    <mergeCell ref="I3:J3"/>
    <mergeCell ref="L3:M3"/>
    <mergeCell ref="R4:T4"/>
    <mergeCell ref="F6:H6"/>
    <mergeCell ref="F3:G3"/>
    <mergeCell ref="F4:H4"/>
    <mergeCell ref="L9:N9"/>
    <mergeCell ref="I10:K10"/>
    <mergeCell ref="L10:N10"/>
    <mergeCell ref="X12:Z12"/>
    <mergeCell ref="X14:Z14"/>
    <mergeCell ref="U12:W12"/>
    <mergeCell ref="I5:K5"/>
    <mergeCell ref="I6:K6"/>
    <mergeCell ref="X10:Z10"/>
    <mergeCell ref="R9:T9"/>
    <mergeCell ref="X9:Z9"/>
    <mergeCell ref="X11:Y11"/>
    <mergeCell ref="U7:V7"/>
    <mergeCell ref="R5:T5"/>
    <mergeCell ref="R12:T12"/>
    <mergeCell ref="R11:S11"/>
    <mergeCell ref="U11:V11"/>
    <mergeCell ref="U9:W9"/>
    <mergeCell ref="I7:J7"/>
    <mergeCell ref="L5:N5"/>
    <mergeCell ref="L11:M11"/>
    <mergeCell ref="L12:N12"/>
    <mergeCell ref="R10:T10"/>
    <mergeCell ref="R14:T14"/>
    <mergeCell ref="X13:Z13"/>
    <mergeCell ref="R7:S7"/>
    <mergeCell ref="L8:N8"/>
    <mergeCell ref="U3:V3"/>
    <mergeCell ref="U5:W5"/>
    <mergeCell ref="X6:Z6"/>
    <mergeCell ref="X8:Z8"/>
    <mergeCell ref="U6:W6"/>
    <mergeCell ref="U8:W8"/>
    <mergeCell ref="X3:Y3"/>
    <mergeCell ref="U4:W4"/>
    <mergeCell ref="X5:Z5"/>
    <mergeCell ref="U15:V15"/>
    <mergeCell ref="U17:W17"/>
    <mergeCell ref="U20:W20"/>
    <mergeCell ref="U23:V23"/>
    <mergeCell ref="U21:W21"/>
    <mergeCell ref="U16:W16"/>
    <mergeCell ref="U13:W13"/>
    <mergeCell ref="U14:W14"/>
    <mergeCell ref="L32:N32"/>
    <mergeCell ref="R19:S19"/>
    <mergeCell ref="R15:S15"/>
    <mergeCell ref="R17:T17"/>
    <mergeCell ref="O15:P15"/>
    <mergeCell ref="O16:Q16"/>
    <mergeCell ref="O28:Q28"/>
    <mergeCell ref="R18:T18"/>
    <mergeCell ref="R22:T22"/>
    <mergeCell ref="U24:W24"/>
    <mergeCell ref="I32:K32"/>
    <mergeCell ref="C34:E34"/>
    <mergeCell ref="O32:Q32"/>
    <mergeCell ref="C33:E33"/>
    <mergeCell ref="L31:M31"/>
    <mergeCell ref="L33:N33"/>
    <mergeCell ref="C31:D31"/>
    <mergeCell ref="F31:G31"/>
    <mergeCell ref="I31:J31"/>
    <mergeCell ref="A27:A30"/>
    <mergeCell ref="A3:A6"/>
    <mergeCell ref="A7:A10"/>
    <mergeCell ref="A11:A14"/>
    <mergeCell ref="A15:A18"/>
    <mergeCell ref="A31:A34"/>
    <mergeCell ref="AA4:AC4"/>
    <mergeCell ref="AA5:AC5"/>
    <mergeCell ref="AA2:AC2"/>
    <mergeCell ref="AA3:AB3"/>
    <mergeCell ref="A19:A22"/>
    <mergeCell ref="A23:A26"/>
    <mergeCell ref="U10:W10"/>
    <mergeCell ref="U19:V19"/>
    <mergeCell ref="X21:Z21"/>
    <mergeCell ref="X15:Y15"/>
    <mergeCell ref="AA10:AC10"/>
    <mergeCell ref="AA11:AB11"/>
    <mergeCell ref="AA8:AC8"/>
    <mergeCell ref="AA9:AC9"/>
    <mergeCell ref="AA6:AC6"/>
    <mergeCell ref="AA7:AB7"/>
    <mergeCell ref="AA16:AC16"/>
    <mergeCell ref="AA17:AC17"/>
    <mergeCell ref="AA14:AC14"/>
    <mergeCell ref="AA15:AB15"/>
    <mergeCell ref="AA12:AC12"/>
    <mergeCell ref="AA13:AC13"/>
    <mergeCell ref="AA22:AC22"/>
    <mergeCell ref="AA23:AB23"/>
    <mergeCell ref="AA20:AC20"/>
    <mergeCell ref="AA21:AC21"/>
    <mergeCell ref="AA18:AC18"/>
    <mergeCell ref="AA19:AB19"/>
    <mergeCell ref="AA42:AC42"/>
    <mergeCell ref="AA24:AC24"/>
    <mergeCell ref="AA25:AC25"/>
    <mergeCell ref="X39:Y39"/>
    <mergeCell ref="X40:Z40"/>
    <mergeCell ref="X29:Z29"/>
    <mergeCell ref="X28:Z28"/>
    <mergeCell ref="AA34:AC34"/>
    <mergeCell ref="AA28:AC28"/>
    <mergeCell ref="X27:Y27"/>
    <mergeCell ref="AA29:AC29"/>
    <mergeCell ref="X25:Z25"/>
    <mergeCell ref="X24:Z24"/>
    <mergeCell ref="X30:Z30"/>
    <mergeCell ref="X31:Z34"/>
    <mergeCell ref="AD35:AE35"/>
    <mergeCell ref="AD36:AF36"/>
    <mergeCell ref="AD37:AF37"/>
    <mergeCell ref="AD38:AF38"/>
    <mergeCell ref="AA26:AC26"/>
    <mergeCell ref="AA27:AB27"/>
    <mergeCell ref="AA30:AC30"/>
    <mergeCell ref="AA31:AB31"/>
    <mergeCell ref="AA32:AC32"/>
    <mergeCell ref="AA33:AC33"/>
    <mergeCell ref="AD32:AF32"/>
    <mergeCell ref="AD33:AF33"/>
    <mergeCell ref="AD34:AF34"/>
    <mergeCell ref="AD29:AF29"/>
    <mergeCell ref="AD30:AF30"/>
    <mergeCell ref="AD31:AE31"/>
    <mergeCell ref="AD2:AF2"/>
    <mergeCell ref="AD3:AE3"/>
    <mergeCell ref="AD4:AF4"/>
    <mergeCell ref="AD5:AF5"/>
    <mergeCell ref="AD6:AF6"/>
    <mergeCell ref="AD7:AE7"/>
    <mergeCell ref="AD8:AF8"/>
    <mergeCell ref="AD9:AF9"/>
    <mergeCell ref="AD10:AF10"/>
    <mergeCell ref="AD11:AE11"/>
    <mergeCell ref="AD12:AF12"/>
    <mergeCell ref="AD13:AF13"/>
    <mergeCell ref="AD14:AF14"/>
    <mergeCell ref="AD15:AE15"/>
    <mergeCell ref="AD16:AF16"/>
    <mergeCell ref="AD17:AF17"/>
    <mergeCell ref="AD18:AF18"/>
    <mergeCell ref="AD19:AE19"/>
    <mergeCell ref="AD20:AF20"/>
    <mergeCell ref="AD21:AF21"/>
    <mergeCell ref="AD22:AF22"/>
    <mergeCell ref="AD23:AE23"/>
    <mergeCell ref="AD24:AF24"/>
    <mergeCell ref="AD25:AF25"/>
    <mergeCell ref="AD26:AF26"/>
    <mergeCell ref="AD27:AE27"/>
    <mergeCell ref="AD28:AF28"/>
    <mergeCell ref="U35:V35"/>
    <mergeCell ref="I36:K36"/>
    <mergeCell ref="L36:N36"/>
    <mergeCell ref="AA35:AC38"/>
    <mergeCell ref="O36:Q36"/>
    <mergeCell ref="R36:T36"/>
    <mergeCell ref="U36:W36"/>
    <mergeCell ref="U37:W37"/>
    <mergeCell ref="X37:Z37"/>
    <mergeCell ref="X38:Z38"/>
    <mergeCell ref="X35:Y35"/>
    <mergeCell ref="X36:Z36"/>
    <mergeCell ref="I37:K37"/>
    <mergeCell ref="L37:N37"/>
    <mergeCell ref="O37:Q37"/>
    <mergeCell ref="R37:T37"/>
    <mergeCell ref="I38:K38"/>
    <mergeCell ref="L38:N38"/>
    <mergeCell ref="O38:Q38"/>
    <mergeCell ref="R38:T38"/>
    <mergeCell ref="I35:J35"/>
    <mergeCell ref="L35:M35"/>
    <mergeCell ref="O35:P35"/>
    <mergeCell ref="U40:W40"/>
    <mergeCell ref="U38:W38"/>
    <mergeCell ref="A39:A42"/>
    <mergeCell ref="B39:B42"/>
    <mergeCell ref="C39:D39"/>
    <mergeCell ref="F39:G39"/>
    <mergeCell ref="I39:J39"/>
    <mergeCell ref="L39:M39"/>
    <mergeCell ref="O39:P39"/>
    <mergeCell ref="I41:K41"/>
    <mergeCell ref="L41:N41"/>
    <mergeCell ref="O41:Q41"/>
    <mergeCell ref="R41:T41"/>
    <mergeCell ref="A35:A38"/>
    <mergeCell ref="B35:B38"/>
    <mergeCell ref="C35:D35"/>
    <mergeCell ref="F35:G35"/>
    <mergeCell ref="C36:E36"/>
    <mergeCell ref="F36:H36"/>
    <mergeCell ref="C37:E37"/>
    <mergeCell ref="F37:H37"/>
    <mergeCell ref="C38:E38"/>
    <mergeCell ref="F38:H38"/>
    <mergeCell ref="R35:S35"/>
    <mergeCell ref="AD39:AF42"/>
    <mergeCell ref="C40:E40"/>
    <mergeCell ref="F40:H40"/>
    <mergeCell ref="I40:K40"/>
    <mergeCell ref="L40:N40"/>
    <mergeCell ref="O40:Q40"/>
    <mergeCell ref="U41:W41"/>
    <mergeCell ref="C42:E42"/>
    <mergeCell ref="F42:H42"/>
    <mergeCell ref="I42:K42"/>
    <mergeCell ref="L42:N42"/>
    <mergeCell ref="O42:Q42"/>
    <mergeCell ref="R42:T42"/>
    <mergeCell ref="U42:W42"/>
    <mergeCell ref="C41:E41"/>
    <mergeCell ref="F41:H41"/>
    <mergeCell ref="R39:S39"/>
    <mergeCell ref="U39:V39"/>
    <mergeCell ref="X41:Z41"/>
    <mergeCell ref="X42:Z42"/>
    <mergeCell ref="AA39:AB39"/>
    <mergeCell ref="AA40:AC40"/>
    <mergeCell ref="AA41:AC41"/>
    <mergeCell ref="R40:T40"/>
  </mergeCells>
  <phoneticPr fontId="3"/>
  <conditionalFormatting sqref="AG7:AG21 AG3:AG5 AG23:AG42">
    <cfRule type="cellIs" dxfId="7" priority="3" stopIfTrue="1" operator="lessThanOrEqual">
      <formula>16</formula>
    </cfRule>
  </conditionalFormatting>
  <conditionalFormatting sqref="AL2 AI2:AJ47 AK3:AK47">
    <cfRule type="containsErrors" dxfId="6" priority="2" stopIfTrue="1">
      <formula>ISERROR(AI2)</formula>
    </cfRule>
  </conditionalFormatting>
  <conditionalFormatting sqref="AD3:AF42 AB3:AC31 AB33:AC42 C3:AA42">
    <cfRule type="containsErrors" dxfId="5" priority="4" stopIfTrue="1">
      <formula>ISERROR(C3)</formula>
    </cfRule>
  </conditionalFormatting>
  <pageMargins left="0.39370078740157483" right="0" top="0.27559055118110237" bottom="0.35433070866141736" header="0.15748031496062992" footer="0.23622047244094491"/>
  <pageSetup paperSize="9" scale="93"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dimension ref="A1:AR36"/>
  <sheetViews>
    <sheetView tabSelected="1" view="pageBreakPreview" zoomScale="55" zoomScaleSheetLayoutView="55" workbookViewId="0">
      <selection activeCell="P16" sqref="P16"/>
    </sheetView>
  </sheetViews>
  <sheetFormatPr defaultRowHeight="14.25"/>
  <cols>
    <col min="1" max="1" width="3.125" style="1" customWidth="1"/>
    <col min="2" max="2" width="10.625" style="1" customWidth="1"/>
    <col min="3" max="32" width="3.125" style="1" customWidth="1"/>
    <col min="33" max="33" width="6" style="1" bestFit="1" customWidth="1"/>
    <col min="34" max="36" width="3.875" style="1" customWidth="1"/>
    <col min="37" max="40" width="5.125" style="1" customWidth="1"/>
    <col min="41" max="41" width="1.75" style="1" customWidth="1"/>
    <col min="42" max="42" width="4.5" style="1" customWidth="1"/>
    <col min="43" max="43" width="4.625" style="1" customWidth="1"/>
    <col min="44" max="44" width="14" style="1" bestFit="1" customWidth="1"/>
    <col min="45" max="45" width="7.375" style="1" customWidth="1"/>
    <col min="46" max="47" width="10.875" style="1" customWidth="1"/>
    <col min="48" max="49" width="3.5" style="1" bestFit="1" customWidth="1"/>
    <col min="50" max="53" width="5.625" style="1" bestFit="1" customWidth="1"/>
    <col min="54" max="54" width="5.375" style="1" bestFit="1" customWidth="1"/>
    <col min="55" max="16384" width="9" style="1"/>
  </cols>
  <sheetData>
    <row r="1" spans="1:44" ht="24" customHeight="1" thickBot="1">
      <c r="A1" s="33"/>
      <c r="B1" s="394" t="s">
        <v>207</v>
      </c>
      <c r="C1" s="394"/>
      <c r="D1" s="394"/>
      <c r="E1" s="394"/>
      <c r="F1" s="394"/>
      <c r="G1" s="394"/>
      <c r="H1" s="394"/>
      <c r="I1" s="394"/>
      <c r="J1" s="394"/>
      <c r="K1" s="394"/>
      <c r="L1" s="394"/>
      <c r="M1" s="58"/>
      <c r="N1" s="58" t="s">
        <v>107</v>
      </c>
      <c r="O1" s="50" t="s">
        <v>52</v>
      </c>
      <c r="P1" s="49"/>
      <c r="Q1" s="49"/>
      <c r="R1" s="51"/>
      <c r="S1" s="48"/>
      <c r="T1" s="53"/>
      <c r="U1" s="53"/>
      <c r="V1" s="53"/>
      <c r="W1" s="51"/>
      <c r="X1" s="51"/>
      <c r="Y1" s="51"/>
      <c r="Z1" s="51"/>
      <c r="AA1" s="51"/>
      <c r="AB1" s="51"/>
      <c r="AC1" s="51"/>
      <c r="AD1" s="51"/>
      <c r="AE1" s="51"/>
      <c r="AF1" s="51"/>
      <c r="AG1" s="51"/>
      <c r="AI1" s="76">
        <f ca="1">TODAY()</f>
        <v>43106</v>
      </c>
      <c r="AJ1" s="33">
        <f ca="1">MONTH(AI1)</f>
        <v>1</v>
      </c>
      <c r="AK1" s="33" t="s">
        <v>53</v>
      </c>
      <c r="AL1" s="33">
        <f ca="1">DAY(AI1)</f>
        <v>6</v>
      </c>
      <c r="AM1" s="33" t="s">
        <v>51</v>
      </c>
      <c r="AN1" s="33" t="s">
        <v>54</v>
      </c>
      <c r="AP1" s="33"/>
      <c r="AQ1" s="33"/>
      <c r="AR1" s="33"/>
    </row>
    <row r="2" spans="1:44" ht="24.95" customHeight="1" thickBot="1">
      <c r="A2" s="33"/>
      <c r="B2" s="34"/>
      <c r="C2" s="404" t="str">
        <f>IF(B3="","",B3)</f>
        <v>大阪ガス株式会社サッカー部</v>
      </c>
      <c r="D2" s="404"/>
      <c r="E2" s="404"/>
      <c r="F2" s="471" t="str">
        <f>IF(B5="","",B5)</f>
        <v>阪南FC</v>
      </c>
      <c r="G2" s="404"/>
      <c r="H2" s="404"/>
      <c r="I2" s="471" t="str">
        <f>IF(B7="","",B7)</f>
        <v>パナソニックES社サッカー部</v>
      </c>
      <c r="J2" s="404"/>
      <c r="K2" s="404"/>
      <c r="L2" s="471" t="str">
        <f>IF(B9="","",B9)</f>
        <v>枚方フットボールクラブ</v>
      </c>
      <c r="M2" s="404"/>
      <c r="N2" s="404"/>
      <c r="O2" s="471" t="str">
        <f>IF(B11="","",B11)</f>
        <v>大阪教員クラブ</v>
      </c>
      <c r="P2" s="404"/>
      <c r="Q2" s="405"/>
      <c r="R2" s="404" t="str">
        <f>IF(B13="","",B13)</f>
        <v>カルシオフットボールクラブ</v>
      </c>
      <c r="S2" s="404"/>
      <c r="T2" s="405"/>
      <c r="U2" s="404" t="str">
        <f>IF(B15="","",B15)</f>
        <v>BTMU</v>
      </c>
      <c r="V2" s="404"/>
      <c r="W2" s="405"/>
      <c r="X2" s="404" t="str">
        <f>IF(B17="","",B17)</f>
        <v>OKFC2011</v>
      </c>
      <c r="Y2" s="404"/>
      <c r="Z2" s="405"/>
      <c r="AA2" s="404" t="str">
        <f>IF(B19="","",B19)</f>
        <v>エルマーノ大阪サッカークラブ</v>
      </c>
      <c r="AB2" s="404"/>
      <c r="AC2" s="405"/>
      <c r="AD2" s="404" t="str">
        <f>IF(B21="","",B21)</f>
        <v>FCボニート</v>
      </c>
      <c r="AE2" s="404"/>
      <c r="AF2" s="405"/>
      <c r="AG2" s="72" t="s">
        <v>58</v>
      </c>
      <c r="AH2" s="69" t="s">
        <v>55</v>
      </c>
      <c r="AI2" s="70" t="s">
        <v>56</v>
      </c>
      <c r="AJ2" s="71" t="s">
        <v>57</v>
      </c>
      <c r="AK2" s="73" t="s">
        <v>59</v>
      </c>
      <c r="AL2" s="70" t="s">
        <v>60</v>
      </c>
      <c r="AM2" s="74" t="s">
        <v>61</v>
      </c>
      <c r="AN2" s="72" t="s">
        <v>62</v>
      </c>
      <c r="AO2" s="37"/>
      <c r="AP2" s="173" t="s">
        <v>65</v>
      </c>
      <c r="AQ2" s="173" t="s">
        <v>69</v>
      </c>
    </row>
    <row r="3" spans="1:44" ht="24.75" customHeight="1">
      <c r="A3" s="428">
        <v>1</v>
      </c>
      <c r="B3" s="466" t="str">
        <f>'Cブロック日程表（結果）'!N56</f>
        <v>大阪ガス株式会社サッカー部</v>
      </c>
      <c r="C3" s="467"/>
      <c r="D3" s="468"/>
      <c r="E3" s="469"/>
      <c r="F3" s="406" t="str">
        <f>IF(F4="","",IF(F4&gt;H4,"○",IF(F4=H4,"△",IF(F4&lt;H4,"●",""))))</f>
        <v>○</v>
      </c>
      <c r="G3" s="407"/>
      <c r="H3" s="408"/>
      <c r="I3" s="406" t="str">
        <f>IF(I4="","",IF(I4&gt;K4,"○",IF(I4=K4,"△",IF(I4&lt;K4,"●",""))))</f>
        <v>○</v>
      </c>
      <c r="J3" s="407"/>
      <c r="K3" s="408"/>
      <c r="L3" s="406" t="str">
        <f>IF(L4="","",IF(L4&gt;N4,"○",IF(L4=N4,"△",IF(L4&lt;N4,"●",""))))</f>
        <v>△</v>
      </c>
      <c r="M3" s="407"/>
      <c r="N3" s="408"/>
      <c r="O3" s="406" t="str">
        <f>IF(O4="","",IF(O4&gt;Q4,"○",IF(O4=Q4,"△",IF(O4&lt;Q4,"●",""))))</f>
        <v>○</v>
      </c>
      <c r="P3" s="407"/>
      <c r="Q3" s="408"/>
      <c r="R3" s="406" t="str">
        <f>IF(R4="","",IF(R4&gt;T4,"○",IF(R4=T4,"△",IF(R4&lt;T4,"●",""))))</f>
        <v>●</v>
      </c>
      <c r="S3" s="407"/>
      <c r="T3" s="408"/>
      <c r="U3" s="406" t="str">
        <f>IF(U4="","",IF(U4&gt;W4,"○",IF(U4=W4,"△",IF(U4&lt;W4,"●",""))))</f>
        <v>△</v>
      </c>
      <c r="V3" s="407"/>
      <c r="W3" s="408"/>
      <c r="X3" s="406" t="str">
        <f>IF(X4="","",IF(X4&gt;Z4,"○",IF(X4=Z4,"△",IF(X4&lt;Z4,"●",""))))</f>
        <v>○</v>
      </c>
      <c r="Y3" s="407"/>
      <c r="Z3" s="408"/>
      <c r="AA3" s="406" t="str">
        <f>IF(AA4="","",IF(AA4&gt;AC4,"○",IF(AA4=AC4,"△",IF(AA4&lt;AC4,"●",""))))</f>
        <v>○</v>
      </c>
      <c r="AB3" s="407"/>
      <c r="AC3" s="408"/>
      <c r="AD3" s="407" t="str">
        <f>IF(AD4="","",IF(AD4&gt;AF4,"○",IF(AD4=AF4,"△",IF(AD4&lt;AF4,"●",""))))</f>
        <v>○</v>
      </c>
      <c r="AE3" s="407"/>
      <c r="AF3" s="411"/>
      <c r="AG3" s="463">
        <f>AH3*3+AI3-AP3*3-AQ3*3</f>
        <v>20</v>
      </c>
      <c r="AH3" s="460">
        <f>COUNTIF($C3:$AF3,"○")</f>
        <v>6</v>
      </c>
      <c r="AI3" s="461">
        <f>COUNTIF($C3:$AF3,"△")</f>
        <v>2</v>
      </c>
      <c r="AJ3" s="462">
        <f>COUNTIF($C3:$AF3,"●")</f>
        <v>1</v>
      </c>
      <c r="AK3" s="460">
        <f>SUM(C4,F4,I4,L4,O4,R4,U4,X4,AA4,AD4)</f>
        <v>25</v>
      </c>
      <c r="AL3" s="461">
        <f>SUM(E4,H4,K4,N4,Q4,T4,W4,Z4,AC4,AF4)</f>
        <v>8</v>
      </c>
      <c r="AM3" s="462">
        <f>AK3-AL3-AQ3*3</f>
        <v>17</v>
      </c>
      <c r="AN3" s="464">
        <f>IF(AR3="未","未",RANK(AR3,$AR$3:$AR$22))</f>
        <v>2</v>
      </c>
      <c r="AO3" s="171"/>
      <c r="AP3" s="403"/>
      <c r="AQ3" s="403"/>
      <c r="AR3" s="402">
        <f>IF(AH3+AI3+AJ3=0,"未",AG3*1000+AM3+AK3*0.001)</f>
        <v>20017.025000000001</v>
      </c>
    </row>
    <row r="4" spans="1:44" ht="24.75" customHeight="1">
      <c r="A4" s="428"/>
      <c r="B4" s="449"/>
      <c r="C4" s="470"/>
      <c r="D4" s="457"/>
      <c r="E4" s="458"/>
      <c r="F4" s="36">
        <f>VLOOKUP(1,'Cブロック日程表（結果）'!$B$3:$Q$48,12,0)</f>
        <v>3</v>
      </c>
      <c r="G4" s="37" t="s">
        <v>40</v>
      </c>
      <c r="H4" s="38">
        <f>VLOOKUP(1,'Cブロック日程表（結果）'!$B$3:$Q$48,10,0)</f>
        <v>2</v>
      </c>
      <c r="I4" s="36">
        <f>VLOOKUP(2,'Cブロック日程表（結果）'!$B$3:$Q$48,12,0)</f>
        <v>4</v>
      </c>
      <c r="J4" s="37" t="s">
        <v>40</v>
      </c>
      <c r="K4" s="38">
        <f>VLOOKUP(2,'Cブロック日程表（結果）'!$B$3:$Q$48,10,0)</f>
        <v>0</v>
      </c>
      <c r="L4" s="36">
        <f>VLOOKUP(4,'Cブロック日程表（結果）'!$B$3:$Q$48,12,0)</f>
        <v>1</v>
      </c>
      <c r="M4" s="37" t="s">
        <v>40</v>
      </c>
      <c r="N4" s="38">
        <f>VLOOKUP(4,'Cブロック日程表（結果）'!$B$3:$Q$48,10,0)</f>
        <v>1</v>
      </c>
      <c r="O4" s="36">
        <f>VLOOKUP(7,'Cブロック日程表（結果）'!$B$3:$Q$48,12,0)</f>
        <v>3</v>
      </c>
      <c r="P4" s="37" t="s">
        <v>40</v>
      </c>
      <c r="Q4" s="38">
        <f>VLOOKUP(7,'Cブロック日程表（結果）'!$B$3:$Q$48,10,0)</f>
        <v>1</v>
      </c>
      <c r="R4" s="36">
        <f>VLOOKUP(11,'Cブロック日程表（結果）'!$B$3:$Q$48,12,0)</f>
        <v>0</v>
      </c>
      <c r="S4" s="37" t="s">
        <v>40</v>
      </c>
      <c r="T4" s="38">
        <f>VLOOKUP(11,'Cブロック日程表（結果）'!$B$3:$Q$48,10,0)</f>
        <v>2</v>
      </c>
      <c r="U4" s="36">
        <f>VLOOKUP(16,'Cブロック日程表（結果）'!$B$3:$Q$48,12,0)</f>
        <v>2</v>
      </c>
      <c r="V4" s="37" t="s">
        <v>40</v>
      </c>
      <c r="W4" s="38">
        <f>VLOOKUP(16,'Cブロック日程表（結果）'!$B$3:$Q$48,10,0)</f>
        <v>2</v>
      </c>
      <c r="X4" s="36">
        <f>VLOOKUP(22,'Cブロック日程表（結果）'!$B$3:$Q$48,12,0)</f>
        <v>3</v>
      </c>
      <c r="Y4" s="37" t="s">
        <v>40</v>
      </c>
      <c r="Z4" s="38">
        <f>VLOOKUP(22,'Cブロック日程表（結果）'!$B$3:$Q$48,10,0)</f>
        <v>0</v>
      </c>
      <c r="AA4" s="36">
        <f>VLOOKUP(29,'Cブロック日程表（結果）'!$B$3:$Q$48,12,0)</f>
        <v>4</v>
      </c>
      <c r="AB4" s="37" t="s">
        <v>40</v>
      </c>
      <c r="AC4" s="38">
        <f>VLOOKUP(29,'Cブロック日程表（結果）'!$B$3:$Q$48,10,0)</f>
        <v>0</v>
      </c>
      <c r="AD4" s="36">
        <f>VLOOKUP(37,'Cブロック日程表（結果）'!$B$3:$Q$48,12,0)</f>
        <v>5</v>
      </c>
      <c r="AE4" s="37" t="s">
        <v>40</v>
      </c>
      <c r="AF4" s="38">
        <f>VLOOKUP(37,'Cブロック日程表（結果）'!$B$3:$Q$48,10,0)</f>
        <v>0</v>
      </c>
      <c r="AG4" s="419"/>
      <c r="AH4" s="452"/>
      <c r="AI4" s="415"/>
      <c r="AJ4" s="444"/>
      <c r="AK4" s="452"/>
      <c r="AL4" s="415"/>
      <c r="AM4" s="444"/>
      <c r="AN4" s="465"/>
      <c r="AO4" s="171"/>
      <c r="AP4" s="403"/>
      <c r="AQ4" s="403"/>
      <c r="AR4" s="402"/>
    </row>
    <row r="5" spans="1:44" ht="24.75" customHeight="1">
      <c r="A5" s="428">
        <v>2</v>
      </c>
      <c r="B5" s="448" t="str">
        <f>'Cブロック日程表（結果）'!N57</f>
        <v>阪南FC</v>
      </c>
      <c r="C5" s="450" t="str">
        <f>IF(C6="","",IF(C6&gt;E6,"○",IF(C6=E6,"△",IF(C6&lt;E6,"●",""))))</f>
        <v>●</v>
      </c>
      <c r="D5" s="409"/>
      <c r="E5" s="409"/>
      <c r="F5" s="453"/>
      <c r="G5" s="454"/>
      <c r="H5" s="455"/>
      <c r="I5" s="445" t="str">
        <f>IF(I6="","",IF(I6&gt;K6,"○",IF(I6=K6,"△",IF(I6&lt;K6,"●",""))))</f>
        <v>△</v>
      </c>
      <c r="J5" s="409"/>
      <c r="K5" s="409"/>
      <c r="L5" s="445" t="str">
        <f>IF(L6="","",IF(L6&gt;N6,"○",IF(L6=N6,"△",IF(L6&lt;N6,"●",""))))</f>
        <v>○</v>
      </c>
      <c r="M5" s="409"/>
      <c r="N5" s="409"/>
      <c r="O5" s="445" t="str">
        <f>IF(O6="","",IF(O6&gt;Q6,"○",IF(O6=Q6,"△",IF(O6&lt;Q6,"●",""))))</f>
        <v>●</v>
      </c>
      <c r="P5" s="409"/>
      <c r="Q5" s="410"/>
      <c r="R5" s="409" t="str">
        <f>IF(R6="","",IF(R6&gt;T6,"○",IF(R6=T6,"△",IF(R6&lt;T6,"●",""))))</f>
        <v>○</v>
      </c>
      <c r="S5" s="409"/>
      <c r="T5" s="410"/>
      <c r="U5" s="409" t="str">
        <f>IF(U6="","",IF(U6&gt;W6,"○",IF(U6=W6,"△",IF(U6&lt;W6,"●",""))))</f>
        <v>△</v>
      </c>
      <c r="V5" s="409"/>
      <c r="W5" s="410"/>
      <c r="X5" s="409" t="str">
        <f>IF(X6="","",IF(X6&gt;Z6,"○",IF(X6=Z6,"△",IF(X6&lt;Z6,"●",""))))</f>
        <v>○</v>
      </c>
      <c r="Y5" s="409"/>
      <c r="Z5" s="410"/>
      <c r="AA5" s="409" t="str">
        <f>IF(AA6="","",IF(AA6&gt;AC6,"○",IF(AA6=AC6,"△",IF(AA6&lt;AC6,"●",""))))</f>
        <v>○</v>
      </c>
      <c r="AB5" s="409"/>
      <c r="AC5" s="410"/>
      <c r="AD5" s="409" t="str">
        <f>IF(AD6="","",IF(AD6&gt;AF6,"○",IF(AD6=AF6,"△",IF(AD6&lt;AF6,"●",""))))</f>
        <v>○</v>
      </c>
      <c r="AE5" s="409"/>
      <c r="AF5" s="410"/>
      <c r="AG5" s="418">
        <f>AH5*3+AI5-AP5*3-AQ5*3</f>
        <v>17</v>
      </c>
      <c r="AH5" s="451">
        <f>COUNTIF($C5:$AF5,"○")</f>
        <v>5</v>
      </c>
      <c r="AI5" s="414">
        <f>COUNTIF($C5:$AF5,"△")</f>
        <v>2</v>
      </c>
      <c r="AJ5" s="443">
        <f>COUNTIF($C5:$AF5,"●")</f>
        <v>2</v>
      </c>
      <c r="AK5" s="412">
        <f>SUM(C6,F6,I6,L6,O6,R6,U6,X6,AA6,AD6)</f>
        <v>25</v>
      </c>
      <c r="AL5" s="414">
        <f>SUM(E6,H6,K6,N6,Q6,T6,W6,Z6,AC6,AF6)</f>
        <v>12</v>
      </c>
      <c r="AM5" s="416">
        <f>AK5-AL5-AQ5*3</f>
        <v>13</v>
      </c>
      <c r="AN5" s="418">
        <f>IF(AR5="未","未",RANK(AR5,$AR$3:$AR$22))</f>
        <v>3</v>
      </c>
      <c r="AO5" s="172"/>
      <c r="AP5" s="403"/>
      <c r="AQ5" s="403"/>
      <c r="AR5" s="402">
        <f>IF(AH5+AI5+AJ5=0,"未",AG5*1000+AM5+AK5*0.001)</f>
        <v>17013.025000000001</v>
      </c>
    </row>
    <row r="6" spans="1:44" ht="24.75" customHeight="1">
      <c r="A6" s="428"/>
      <c r="B6" s="449"/>
      <c r="C6" s="39">
        <f>IF(H4="","",H4)</f>
        <v>2</v>
      </c>
      <c r="D6" s="37" t="s">
        <v>5</v>
      </c>
      <c r="E6" s="37">
        <f>IF(F4="","",F4)</f>
        <v>3</v>
      </c>
      <c r="F6" s="456"/>
      <c r="G6" s="457"/>
      <c r="H6" s="458"/>
      <c r="I6" s="36">
        <f>VLOOKUP(3,'Cブロック日程表（結果）'!$B$3:$Q$48,12,0)</f>
        <v>2</v>
      </c>
      <c r="J6" s="37" t="s">
        <v>40</v>
      </c>
      <c r="K6" s="38">
        <f>VLOOKUP(3,'Cブロック日程表（結果）'!$B$3:$Q$48,10,0)</f>
        <v>2</v>
      </c>
      <c r="L6" s="36">
        <f>VLOOKUP(5,'Cブロック日程表（結果）'!$B$3:$Q$48,12,0)</f>
        <v>2</v>
      </c>
      <c r="M6" s="37" t="s">
        <v>40</v>
      </c>
      <c r="N6" s="38">
        <f>VLOOKUP(5,'Cブロック日程表（結果）'!$B$3:$Q$48,10,0)</f>
        <v>1</v>
      </c>
      <c r="O6" s="36">
        <f>VLOOKUP(8,'Cブロック日程表（結果）'!$B$3:$Q$48,12,0)</f>
        <v>1</v>
      </c>
      <c r="P6" s="37" t="s">
        <v>40</v>
      </c>
      <c r="Q6" s="38">
        <f>VLOOKUP(8,'Cブロック日程表（結果）'!$B$3:$Q$48,10,0)</f>
        <v>4</v>
      </c>
      <c r="R6" s="36">
        <f>VLOOKUP(12,'Cブロック日程表（結果）'!$B$3:$Q$48,12,0)</f>
        <v>4</v>
      </c>
      <c r="S6" s="37" t="s">
        <v>40</v>
      </c>
      <c r="T6" s="38">
        <f>VLOOKUP(12,'Cブロック日程表（結果）'!$B$3:$Q$48,10,0)</f>
        <v>0</v>
      </c>
      <c r="U6" s="36">
        <f>VLOOKUP(17,'Cブロック日程表（結果）'!$B$3:$Q$48,12,0)</f>
        <v>1</v>
      </c>
      <c r="V6" s="37" t="s">
        <v>40</v>
      </c>
      <c r="W6" s="38">
        <f>VLOOKUP(17,'Cブロック日程表（結果）'!$B$3:$Q$48,10,0)</f>
        <v>1</v>
      </c>
      <c r="X6" s="36">
        <f>VLOOKUP(23,'Cブロック日程表（結果）'!$B$3:$Q$48,12,0)</f>
        <v>5</v>
      </c>
      <c r="Y6" s="37" t="s">
        <v>40</v>
      </c>
      <c r="Z6" s="38">
        <f>VLOOKUP(23,'Cブロック日程表（結果）'!$B$3:$Q$48,10,0)</f>
        <v>0</v>
      </c>
      <c r="AA6" s="36">
        <f>VLOOKUP(30,'Cブロック日程表（結果）'!$B$3:$Q$48,12,0)</f>
        <v>3</v>
      </c>
      <c r="AB6" s="37" t="s">
        <v>40</v>
      </c>
      <c r="AC6" s="38">
        <f>VLOOKUP(30,'Cブロック日程表（結果）'!$B$3:$Q$48,10,0)</f>
        <v>1</v>
      </c>
      <c r="AD6" s="36">
        <f>VLOOKUP(38,'Cブロック日程表（結果）'!$B$3:$Q$48,12,0)</f>
        <v>5</v>
      </c>
      <c r="AE6" s="37" t="s">
        <v>40</v>
      </c>
      <c r="AF6" s="38">
        <f>VLOOKUP(38,'Cブロック日程表（結果）'!$B$3:$Q$48,10,0)</f>
        <v>0</v>
      </c>
      <c r="AG6" s="419"/>
      <c r="AH6" s="452"/>
      <c r="AI6" s="415"/>
      <c r="AJ6" s="444"/>
      <c r="AK6" s="413"/>
      <c r="AL6" s="415"/>
      <c r="AM6" s="417"/>
      <c r="AN6" s="419"/>
      <c r="AO6" s="172"/>
      <c r="AP6" s="403"/>
      <c r="AQ6" s="403"/>
      <c r="AR6" s="402"/>
    </row>
    <row r="7" spans="1:44" ht="24.75" customHeight="1">
      <c r="A7" s="428">
        <v>3</v>
      </c>
      <c r="B7" s="448" t="str">
        <f>'Cブロック日程表（結果）'!N58</f>
        <v>パナソニックES社サッカー部</v>
      </c>
      <c r="C7" s="450" t="str">
        <f>IF(C8="","",IF(C8&gt;E8,"○",IF(C8=E8,"△",IF(C8&lt;E8,"●",""))))</f>
        <v>●</v>
      </c>
      <c r="D7" s="409"/>
      <c r="E7" s="409"/>
      <c r="F7" s="445" t="str">
        <f>IF(F8="","",IF(F8&gt;H8,"○",IF(F8=H8,"△",IF(F8&lt;H8,"●",""))))</f>
        <v>△</v>
      </c>
      <c r="G7" s="409"/>
      <c r="H7" s="409"/>
      <c r="I7" s="453"/>
      <c r="J7" s="454"/>
      <c r="K7" s="455"/>
      <c r="L7" s="445" t="str">
        <f>IF(L8="","",IF(L8&gt;N8,"○",IF(L8=N8,"△",IF(L8&lt;N8,"●",""))))</f>
        <v>△</v>
      </c>
      <c r="M7" s="409"/>
      <c r="N7" s="409"/>
      <c r="O7" s="445" t="str">
        <f>IF(O8="","",IF(O8&gt;Q8,"○",IF(O8=Q8,"△",IF(O8&lt;Q8,"●",""))))</f>
        <v>●</v>
      </c>
      <c r="P7" s="409"/>
      <c r="Q7" s="410"/>
      <c r="R7" s="409" t="str">
        <f>IF(R8="","",IF(R8&gt;T8,"○",IF(R8=T8,"△",IF(R8&lt;T8,"●",""))))</f>
        <v>△</v>
      </c>
      <c r="S7" s="409"/>
      <c r="T7" s="410"/>
      <c r="U7" s="409" t="str">
        <f>IF(U8="","",IF(U8&gt;W8,"○",IF(U8=W8,"△",IF(U8&lt;W8,"●",""))))</f>
        <v>○</v>
      </c>
      <c r="V7" s="409"/>
      <c r="W7" s="410"/>
      <c r="X7" s="409" t="str">
        <f>IF(X8="","",IF(X8&gt;Z8,"○",IF(X8=Z8,"△",IF(X8&lt;Z8,"●",""))))</f>
        <v>△</v>
      </c>
      <c r="Y7" s="409"/>
      <c r="Z7" s="410"/>
      <c r="AA7" s="409" t="str">
        <f>IF(AA8="","",IF(AA8&gt;AC8,"○",IF(AA8=AC8,"△",IF(AA8&lt;AC8,"●",""))))</f>
        <v>●</v>
      </c>
      <c r="AB7" s="409"/>
      <c r="AC7" s="410"/>
      <c r="AD7" s="409" t="str">
        <f>IF(AD8="","",IF(AD8&gt;AF8,"○",IF(AD8=AF8,"△",IF(AD8&lt;AF8,"●",""))))</f>
        <v>●</v>
      </c>
      <c r="AE7" s="409"/>
      <c r="AF7" s="410"/>
      <c r="AG7" s="418">
        <f>AH7*3+AI7-AP7*3-AQ7*3</f>
        <v>7</v>
      </c>
      <c r="AH7" s="451">
        <f>COUNTIF($C7:$AF7,"○")</f>
        <v>1</v>
      </c>
      <c r="AI7" s="414">
        <f>COUNTIF($C7:$AF7,"△")</f>
        <v>4</v>
      </c>
      <c r="AJ7" s="443">
        <f>COUNTIF($C7:$AF7,"●")</f>
        <v>4</v>
      </c>
      <c r="AK7" s="412">
        <f>SUM(C8,F8,I8,L8,O8,R8,U8,X8,AA8,AD8)</f>
        <v>14</v>
      </c>
      <c r="AL7" s="414">
        <f>SUM(E8,H8,K8,N8,Q8,T8,W8,Z8,AC8,AF8)</f>
        <v>25</v>
      </c>
      <c r="AM7" s="416">
        <f>AK7-AL7-AQ7*3</f>
        <v>-11</v>
      </c>
      <c r="AN7" s="418">
        <f>IF(AR7="未","未",RANK(AR7,$AR$3:$AR$22))</f>
        <v>8</v>
      </c>
      <c r="AO7" s="172"/>
      <c r="AP7" s="403"/>
      <c r="AQ7" s="403"/>
      <c r="AR7" s="402">
        <f>IF(AH7+AI7+AJ7=0,"未",AG7*1000+AM7+AK7*0.001)</f>
        <v>6989.0140000000001</v>
      </c>
    </row>
    <row r="8" spans="1:44" ht="24.75" customHeight="1">
      <c r="A8" s="428"/>
      <c r="B8" s="449"/>
      <c r="C8" s="39">
        <f>IF(K4="","",K4)</f>
        <v>0</v>
      </c>
      <c r="D8" s="37" t="s">
        <v>5</v>
      </c>
      <c r="E8" s="37">
        <f>IF(I4="","",I4)</f>
        <v>4</v>
      </c>
      <c r="F8" s="40">
        <f>IF(K6="","",K6)</f>
        <v>2</v>
      </c>
      <c r="G8" s="37" t="s">
        <v>5</v>
      </c>
      <c r="H8" s="37">
        <f>IF(I6="","",I6)</f>
        <v>2</v>
      </c>
      <c r="I8" s="456"/>
      <c r="J8" s="457"/>
      <c r="K8" s="458"/>
      <c r="L8" s="36">
        <f>VLOOKUP(6,'Cブロック日程表（結果）'!$B$3:$Q$48,12,0)</f>
        <v>1</v>
      </c>
      <c r="M8" s="37" t="s">
        <v>40</v>
      </c>
      <c r="N8" s="38">
        <f>VLOOKUP(6,'Cブロック日程表（結果）'!$B$3:$Q$48,10,0)</f>
        <v>1</v>
      </c>
      <c r="O8" s="36">
        <f>VLOOKUP(9,'Cブロック日程表（結果）'!$B$3:$Q$48,12,0)</f>
        <v>0</v>
      </c>
      <c r="P8" s="37" t="s">
        <v>40</v>
      </c>
      <c r="Q8" s="38">
        <f>VLOOKUP(9,'Cブロック日程表（結果）'!$B$3:$Q$48,10,0)</f>
        <v>4</v>
      </c>
      <c r="R8" s="36">
        <f>VLOOKUP(13,'Cブロック日程表（結果）'!$B$3:$Q$48,12,0)</f>
        <v>3</v>
      </c>
      <c r="S8" s="37" t="s">
        <v>40</v>
      </c>
      <c r="T8" s="38">
        <f>VLOOKUP(13,'Cブロック日程表（結果）'!$B$3:$Q$48,10,0)</f>
        <v>3</v>
      </c>
      <c r="U8" s="36">
        <f>VLOOKUP(18,'Cブロック日程表（結果）'!$B$3:$Q$48,12,0)</f>
        <v>2</v>
      </c>
      <c r="V8" s="37" t="s">
        <v>40</v>
      </c>
      <c r="W8" s="38">
        <f>VLOOKUP(18,'Cブロック日程表（結果）'!$B$3:$Q$48,10,0)</f>
        <v>1</v>
      </c>
      <c r="X8" s="36">
        <f>VLOOKUP(24,'Cブロック日程表（結果）'!$B$3:$Q$48,12,0)</f>
        <v>2</v>
      </c>
      <c r="Y8" s="37" t="s">
        <v>40</v>
      </c>
      <c r="Z8" s="38">
        <f>VLOOKUP(24,'Cブロック日程表（結果）'!$B$3:$Q$48,10,0)</f>
        <v>2</v>
      </c>
      <c r="AA8" s="36">
        <f>VLOOKUP(31,'Cブロック日程表（結果）'!$B$3:$Q$48,12,0)</f>
        <v>1</v>
      </c>
      <c r="AB8" s="37" t="s">
        <v>40</v>
      </c>
      <c r="AC8" s="38">
        <f>VLOOKUP(31,'Cブロック日程表（結果）'!$B$3:$Q$48,10,0)</f>
        <v>3</v>
      </c>
      <c r="AD8" s="36">
        <f>VLOOKUP(39,'Cブロック日程表（結果）'!$B$3:$Q$48,12,0)</f>
        <v>3</v>
      </c>
      <c r="AE8" s="37" t="s">
        <v>40</v>
      </c>
      <c r="AF8" s="38">
        <f>VLOOKUP(39,'Cブロック日程表（結果）'!$B$3:$Q$48,10,0)</f>
        <v>5</v>
      </c>
      <c r="AG8" s="419"/>
      <c r="AH8" s="452"/>
      <c r="AI8" s="415"/>
      <c r="AJ8" s="444"/>
      <c r="AK8" s="413"/>
      <c r="AL8" s="415"/>
      <c r="AM8" s="417"/>
      <c r="AN8" s="419"/>
      <c r="AO8" s="172"/>
      <c r="AP8" s="403"/>
      <c r="AQ8" s="403"/>
      <c r="AR8" s="402"/>
    </row>
    <row r="9" spans="1:44" ht="24.75" customHeight="1">
      <c r="A9" s="428">
        <v>4</v>
      </c>
      <c r="B9" s="448" t="str">
        <f>'Cブロック日程表（結果）'!N59</f>
        <v>枚方フットボールクラブ</v>
      </c>
      <c r="C9" s="450" t="str">
        <f>IF(C10="","",IF(C10&gt;E10,"○",IF(C10=E10,"△",IF(C10&lt;E10,"●",""))))</f>
        <v>△</v>
      </c>
      <c r="D9" s="409"/>
      <c r="E9" s="409"/>
      <c r="F9" s="445" t="str">
        <f>IF(F10="","",IF(F10&gt;H10,"○",IF(F10=H10,"△",IF(F10&lt;H10,"●",""))))</f>
        <v>●</v>
      </c>
      <c r="G9" s="409"/>
      <c r="H9" s="409"/>
      <c r="I9" s="445" t="str">
        <f>IF(I10="","",IF(I10&gt;K10,"○",IF(I10=K10,"△",IF(I10&lt;K10,"●",""))))</f>
        <v>△</v>
      </c>
      <c r="J9" s="409"/>
      <c r="K9" s="409"/>
      <c r="L9" s="453"/>
      <c r="M9" s="454"/>
      <c r="N9" s="455"/>
      <c r="O9" s="445" t="str">
        <f>IF(O10="","",IF(O10&gt;Q10,"○",IF(O10=Q10,"△",IF(O10&lt;Q10,"●",""))))</f>
        <v>△</v>
      </c>
      <c r="P9" s="409"/>
      <c r="Q9" s="410"/>
      <c r="R9" s="409" t="str">
        <f>IF(R10="","",IF(R10&gt;T10,"○",IF(R10=T10,"△",IF(R10&lt;T10,"●",""))))</f>
        <v>●</v>
      </c>
      <c r="S9" s="409"/>
      <c r="T9" s="410"/>
      <c r="U9" s="409" t="str">
        <f>IF(U10="","",IF(U10&gt;W10,"○",IF(U10=W10,"△",IF(U10&lt;W10,"●",""))))</f>
        <v>△</v>
      </c>
      <c r="V9" s="409"/>
      <c r="W9" s="410"/>
      <c r="X9" s="409" t="str">
        <f>IF(X10="","",IF(X10&gt;Z10,"○",IF(X10=Z10,"△",IF(X10&lt;Z10,"●",""))))</f>
        <v>○</v>
      </c>
      <c r="Y9" s="409"/>
      <c r="Z9" s="410"/>
      <c r="AA9" s="409" t="str">
        <f>IF(AA10="","",IF(AA10&gt;AC10,"○",IF(AA10=AC10,"△",IF(AA10&lt;AC10,"●",""))))</f>
        <v>○</v>
      </c>
      <c r="AB9" s="409"/>
      <c r="AC9" s="410"/>
      <c r="AD9" s="409" t="str">
        <f>IF(AD10="","",IF(AD10&gt;AF10,"○",IF(AD10=AF10,"△",IF(AD10&lt;AF10,"●",""))))</f>
        <v>○</v>
      </c>
      <c r="AE9" s="409"/>
      <c r="AF9" s="410"/>
      <c r="AG9" s="418">
        <f>AH9*3+AI9-AP9*3-AQ9*3</f>
        <v>13</v>
      </c>
      <c r="AH9" s="451">
        <f>COUNTIF($C9:$AF9,"○")</f>
        <v>3</v>
      </c>
      <c r="AI9" s="414">
        <f>COUNTIF($C9:$AF9,"△")</f>
        <v>4</v>
      </c>
      <c r="AJ9" s="443">
        <f>COUNTIF($C9:$AF9,"●")</f>
        <v>2</v>
      </c>
      <c r="AK9" s="412">
        <f>SUM(C10,F10,I10,L10,O10,R10,U10,X10,AA10,AD10)</f>
        <v>17</v>
      </c>
      <c r="AL9" s="414">
        <f>SUM(E10,H10,K10,N10,Q10,T10,W10,Z10,AC10,AF10)</f>
        <v>9</v>
      </c>
      <c r="AM9" s="416">
        <f>AK9-AL9-AQ9*3</f>
        <v>8</v>
      </c>
      <c r="AN9" s="418">
        <f>IF(AR9="未","未",RANK(AR9,$AR$3:$AR$22))</f>
        <v>5</v>
      </c>
      <c r="AO9" s="172"/>
      <c r="AP9" s="403"/>
      <c r="AQ9" s="403"/>
      <c r="AR9" s="402">
        <f>IF(AH9+AI9+AJ9=0,"未",AG9*1000+AM9+AK9*0.001)</f>
        <v>13008.017</v>
      </c>
    </row>
    <row r="10" spans="1:44" ht="24.75" customHeight="1">
      <c r="A10" s="428"/>
      <c r="B10" s="449"/>
      <c r="C10" s="39">
        <f>IF(N4="","",N4)</f>
        <v>1</v>
      </c>
      <c r="D10" s="37" t="s">
        <v>5</v>
      </c>
      <c r="E10" s="37">
        <f>IF(L4="","",L4)</f>
        <v>1</v>
      </c>
      <c r="F10" s="40">
        <f>IF(N6="","",N6)</f>
        <v>1</v>
      </c>
      <c r="G10" s="37" t="s">
        <v>5</v>
      </c>
      <c r="H10" s="37">
        <f>IF(L6="","",L6)</f>
        <v>2</v>
      </c>
      <c r="I10" s="40">
        <f>IF(N8="","",N8)</f>
        <v>1</v>
      </c>
      <c r="J10" s="37" t="s">
        <v>5</v>
      </c>
      <c r="K10" s="37">
        <f>IF(L8="","",L8)</f>
        <v>1</v>
      </c>
      <c r="L10" s="456"/>
      <c r="M10" s="457"/>
      <c r="N10" s="458"/>
      <c r="O10" s="78">
        <f>VLOOKUP(10,'Cブロック日程表（結果）'!$B$3:$Q$48,12,0)</f>
        <v>0</v>
      </c>
      <c r="P10" s="43" t="s">
        <v>40</v>
      </c>
      <c r="Q10" s="46">
        <f>VLOOKUP(10,'Cブロック日程表（結果）'!$B$3:$Q$48,10,0)</f>
        <v>0</v>
      </c>
      <c r="R10" s="78">
        <f>VLOOKUP(14,'Cブロック日程表（結果）'!$B$3:$Q$48,12,0)</f>
        <v>0</v>
      </c>
      <c r="S10" s="43" t="s">
        <v>40</v>
      </c>
      <c r="T10" s="46">
        <f>VLOOKUP(14,'Cブロック日程表（結果）'!$B$3:$Q$48,10,0)</f>
        <v>1</v>
      </c>
      <c r="U10" s="36">
        <f>VLOOKUP(19,'Cブロック日程表（結果）'!$B$3:$Q$48,12,0)</f>
        <v>3</v>
      </c>
      <c r="V10" s="37" t="s">
        <v>40</v>
      </c>
      <c r="W10" s="38">
        <f>VLOOKUP(19,'Cブロック日程表（結果）'!$B$3:$Q$48,10,0)</f>
        <v>3</v>
      </c>
      <c r="X10" s="36">
        <f>VLOOKUP(25,'Cブロック日程表（結果）'!$B$3:$Q$48,12,0)</f>
        <v>2</v>
      </c>
      <c r="Y10" s="37" t="s">
        <v>40</v>
      </c>
      <c r="Z10" s="38">
        <f>VLOOKUP(25,'Cブロック日程表（結果）'!$B$3:$Q$48,10,0)</f>
        <v>0</v>
      </c>
      <c r="AA10" s="36">
        <f>VLOOKUP(32,'Cブロック日程表（結果）'!$B$3:$Q$48,12,0)</f>
        <v>5</v>
      </c>
      <c r="AB10" s="37" t="s">
        <v>40</v>
      </c>
      <c r="AC10" s="38">
        <f>VLOOKUP(32,'Cブロック日程表（結果）'!$B$3:$Q$48,10,0)</f>
        <v>1</v>
      </c>
      <c r="AD10" s="36">
        <f>VLOOKUP(40,'Cブロック日程表（結果）'!$B$3:$Q$48,12,0)</f>
        <v>4</v>
      </c>
      <c r="AE10" s="37" t="s">
        <v>40</v>
      </c>
      <c r="AF10" s="38">
        <f>VLOOKUP(40,'Cブロック日程表（結果）'!$B$3:$Q$48,10,0)</f>
        <v>0</v>
      </c>
      <c r="AG10" s="419"/>
      <c r="AH10" s="452"/>
      <c r="AI10" s="415"/>
      <c r="AJ10" s="444"/>
      <c r="AK10" s="413"/>
      <c r="AL10" s="415"/>
      <c r="AM10" s="417"/>
      <c r="AN10" s="419"/>
      <c r="AO10" s="172"/>
      <c r="AP10" s="403"/>
      <c r="AQ10" s="403"/>
      <c r="AR10" s="402"/>
    </row>
    <row r="11" spans="1:44" ht="24.75" customHeight="1">
      <c r="A11" s="428">
        <v>5</v>
      </c>
      <c r="B11" s="448" t="str">
        <f>'Cブロック日程表（結果）'!N60</f>
        <v>大阪教員クラブ</v>
      </c>
      <c r="C11" s="450" t="str">
        <f>IF(C12="","",IF(C12&gt;E12,"○",IF(C12=E12,"△",IF(C12&lt;E12,"●",""))))</f>
        <v>●</v>
      </c>
      <c r="D11" s="409"/>
      <c r="E11" s="409"/>
      <c r="F11" s="445" t="str">
        <f>IF(F12="","",IF(F12&gt;H12,"○",IF(F12=H12,"△",IF(F12&lt;H12,"●",""))))</f>
        <v>○</v>
      </c>
      <c r="G11" s="409"/>
      <c r="H11" s="409"/>
      <c r="I11" s="445" t="str">
        <f>IF(I12="","",IF(I12&gt;K12,"○",IF(I12=K12,"△",IF(I12&lt;K12,"●",""))))</f>
        <v>○</v>
      </c>
      <c r="J11" s="409"/>
      <c r="K11" s="409"/>
      <c r="L11" s="445" t="str">
        <f>IF(L12="","",IF(L12&gt;N12,"○",IF(L12=N12,"△",IF(L12&lt;N12,"●",""))))</f>
        <v>△</v>
      </c>
      <c r="M11" s="409"/>
      <c r="N11" s="409"/>
      <c r="O11" s="453"/>
      <c r="P11" s="454"/>
      <c r="Q11" s="455"/>
      <c r="R11" s="445" t="str">
        <f>IF(R12="","",IF(R12&gt;T12,"○",IF(R12=T12,"△",IF(R12&lt;T12,"●",""))))</f>
        <v>○</v>
      </c>
      <c r="S11" s="409"/>
      <c r="T11" s="410"/>
      <c r="U11" s="409" t="str">
        <f>IF(U12="","",IF(U12&gt;W12,"○",IF(U12=W12,"△",IF(U12&lt;W12,"●",""))))</f>
        <v>○</v>
      </c>
      <c r="V11" s="409"/>
      <c r="W11" s="410"/>
      <c r="X11" s="409" t="str">
        <f>IF(X12="","",IF(X12&gt;Z12,"○",IF(X12=Z12,"△",IF(X12&lt;Z12,"●",""))))</f>
        <v>○</v>
      </c>
      <c r="Y11" s="409"/>
      <c r="Z11" s="410"/>
      <c r="AA11" s="409" t="str">
        <f>IF(AA12="","",IF(AA12&gt;AC12,"○",IF(AA12=AC12,"△",IF(AA12&lt;AC12,"●",""))))</f>
        <v>○</v>
      </c>
      <c r="AB11" s="409"/>
      <c r="AC11" s="410"/>
      <c r="AD11" s="409" t="str">
        <f>IF(AD12="","",IF(AD12&gt;AF12,"○",IF(AD12=AF12,"△",IF(AD12&lt;AF12,"●",""))))</f>
        <v>○</v>
      </c>
      <c r="AE11" s="409"/>
      <c r="AF11" s="410"/>
      <c r="AG11" s="418">
        <f>AH11*3+AI11-AP11*3-AQ11*3</f>
        <v>22</v>
      </c>
      <c r="AH11" s="451">
        <f>COUNTIF($C11:$AF11,"○")</f>
        <v>7</v>
      </c>
      <c r="AI11" s="414">
        <f>COUNTIF($C11:$AF11,"△")</f>
        <v>1</v>
      </c>
      <c r="AJ11" s="443">
        <f>COUNTIF($C11:$AF11,"●")</f>
        <v>1</v>
      </c>
      <c r="AK11" s="412">
        <f>SUM(C12,F12,I12,L12,O12,R12,U12,X12,AA12,AD12)</f>
        <v>25</v>
      </c>
      <c r="AL11" s="414">
        <f>SUM(E12,H12,K12,N12,Q12,T12,W12,Z12,AC12,AF12)</f>
        <v>7</v>
      </c>
      <c r="AM11" s="416">
        <f>AK11-AL11-AQ11*3</f>
        <v>18</v>
      </c>
      <c r="AN11" s="418">
        <f>IF(AR11="未","未",RANK(AR11,$AR$3:$AR$22))</f>
        <v>1</v>
      </c>
      <c r="AO11" s="172"/>
      <c r="AP11" s="403"/>
      <c r="AQ11" s="403"/>
      <c r="AR11" s="402">
        <f>IF(AH11+AI11+AJ11=0,"未",AG11*1000+AM11+AK11*0.001)</f>
        <v>22018.025000000001</v>
      </c>
    </row>
    <row r="12" spans="1:44" ht="24.75" customHeight="1">
      <c r="A12" s="428"/>
      <c r="B12" s="449"/>
      <c r="C12" s="39">
        <f>IF(Q4="","",Q4)</f>
        <v>1</v>
      </c>
      <c r="D12" s="37" t="s">
        <v>5</v>
      </c>
      <c r="E12" s="37">
        <f>IF(O4="","",O4)</f>
        <v>3</v>
      </c>
      <c r="F12" s="40">
        <f>IF(Q6="","",Q6)</f>
        <v>4</v>
      </c>
      <c r="G12" s="37" t="s">
        <v>5</v>
      </c>
      <c r="H12" s="37">
        <f>IF(O6="","",O6)</f>
        <v>1</v>
      </c>
      <c r="I12" s="40">
        <f>IF(Q8="","",Q8)</f>
        <v>4</v>
      </c>
      <c r="J12" s="37" t="s">
        <v>5</v>
      </c>
      <c r="K12" s="37">
        <f>IF(O8="","",O8)</f>
        <v>0</v>
      </c>
      <c r="L12" s="40">
        <f>IF(Q10="","",Q10)</f>
        <v>0</v>
      </c>
      <c r="M12" s="37" t="s">
        <v>5</v>
      </c>
      <c r="N12" s="37">
        <f>IF(O10="","",O10)</f>
        <v>0</v>
      </c>
      <c r="O12" s="456"/>
      <c r="P12" s="457"/>
      <c r="Q12" s="458"/>
      <c r="R12" s="36">
        <f>VLOOKUP(15,'Cブロック日程表（結果）'!$B$3:$Q$48,12,0)</f>
        <v>2</v>
      </c>
      <c r="S12" s="37" t="s">
        <v>40</v>
      </c>
      <c r="T12" s="38">
        <f>VLOOKUP(15,'Cブロック日程表（結果）'!$B$3:$Q$48,10,0)</f>
        <v>1</v>
      </c>
      <c r="U12" s="36">
        <f>VLOOKUP(20,'Cブロック日程表（結果）'!$B$3:$Q$48,12,0)</f>
        <v>3</v>
      </c>
      <c r="V12" s="37" t="s">
        <v>40</v>
      </c>
      <c r="W12" s="38">
        <f>VLOOKUP(20,'Cブロック日程表（結果）'!$B$3:$Q$48,10,0)</f>
        <v>0</v>
      </c>
      <c r="X12" s="36">
        <f>VLOOKUP(26,'Cブロック日程表（結果）'!$B$3:$Q$48,12,0)</f>
        <v>2</v>
      </c>
      <c r="Y12" s="37" t="s">
        <v>40</v>
      </c>
      <c r="Z12" s="38">
        <f>VLOOKUP(26,'Cブロック日程表（結果）'!$B$3:$Q$48,10,0)</f>
        <v>1</v>
      </c>
      <c r="AA12" s="36">
        <f>VLOOKUP(33,'Cブロック日程表（結果）'!$B$3:$Q$48,12,0)</f>
        <v>6</v>
      </c>
      <c r="AB12" s="37" t="s">
        <v>40</v>
      </c>
      <c r="AC12" s="38">
        <f>VLOOKUP(33,'Cブロック日程表（結果）'!$B$3:$Q$48,10,0)</f>
        <v>1</v>
      </c>
      <c r="AD12" s="36">
        <f>VLOOKUP(41,'Cブロック日程表（結果）'!$B$3:$Q$48,12,0)</f>
        <v>3</v>
      </c>
      <c r="AE12" s="37" t="s">
        <v>40</v>
      </c>
      <c r="AF12" s="38">
        <f>VLOOKUP(41,'Cブロック日程表（結果）'!$B$3:$Q$48,10,0)</f>
        <v>0</v>
      </c>
      <c r="AG12" s="419"/>
      <c r="AH12" s="452"/>
      <c r="AI12" s="415"/>
      <c r="AJ12" s="444"/>
      <c r="AK12" s="413"/>
      <c r="AL12" s="415"/>
      <c r="AM12" s="417"/>
      <c r="AN12" s="419"/>
      <c r="AO12" s="172"/>
      <c r="AP12" s="403"/>
      <c r="AQ12" s="403"/>
      <c r="AR12" s="402"/>
    </row>
    <row r="13" spans="1:44" ht="24.75" customHeight="1">
      <c r="A13" s="428">
        <v>6</v>
      </c>
      <c r="B13" s="448" t="str">
        <f>'Cブロック日程表（結果）'!N61</f>
        <v>カルシオフットボールクラブ</v>
      </c>
      <c r="C13" s="450" t="str">
        <f>IF(C14="","",IF(C14&gt;E14,"○",IF(C14=E14,"△",IF(C14&lt;E14,"●",""))))</f>
        <v>○</v>
      </c>
      <c r="D13" s="409"/>
      <c r="E13" s="409"/>
      <c r="F13" s="445" t="str">
        <f>IF(F14="","",IF(F14&gt;H14,"○",IF(F14=H14,"△",IF(F14&lt;H14,"●",""))))</f>
        <v>●</v>
      </c>
      <c r="G13" s="409"/>
      <c r="H13" s="409"/>
      <c r="I13" s="445" t="str">
        <f>IF(I14="","",IF(I14&gt;K14,"○",IF(I14=K14,"△",IF(I14&lt;K14,"●",""))))</f>
        <v>△</v>
      </c>
      <c r="J13" s="409"/>
      <c r="K13" s="409"/>
      <c r="L13" s="445" t="str">
        <f>IF(L14="","",IF(L14&gt;N14,"○",IF(L14=N14,"△",IF(L14&lt;N14,"●",""))))</f>
        <v>○</v>
      </c>
      <c r="M13" s="409"/>
      <c r="N13" s="409"/>
      <c r="O13" s="445" t="str">
        <f>IF(O14="","",IF(O14&gt;Q14,"○",IF(O14=Q14,"△",IF(O14&lt;Q14,"●",""))))</f>
        <v>●</v>
      </c>
      <c r="P13" s="409"/>
      <c r="Q13" s="410"/>
      <c r="R13" s="453"/>
      <c r="S13" s="454"/>
      <c r="T13" s="455"/>
      <c r="U13" s="445" t="str">
        <f>IF(U14="","",IF(U14&gt;W14,"○",IF(U14=W14,"△",IF(U14&lt;W14,"●",""))))</f>
        <v>●</v>
      </c>
      <c r="V13" s="409"/>
      <c r="W13" s="410"/>
      <c r="X13" s="409" t="str">
        <f>IF(X14="","",IF(X14&gt;Z14,"○",IF(X14=Z14,"△",IF(X14&lt;Z14,"●",""))))</f>
        <v>△</v>
      </c>
      <c r="Y13" s="409"/>
      <c r="Z13" s="410"/>
      <c r="AA13" s="409" t="str">
        <f>IF(AA14="","",IF(AA14&gt;AC14,"○",IF(AA14=AC14,"△",IF(AA14&lt;AC14,"●",""))))</f>
        <v>●</v>
      </c>
      <c r="AB13" s="409"/>
      <c r="AC13" s="410"/>
      <c r="AD13" s="409" t="str">
        <f>IF(AD14="","",IF(AD14&gt;AF14,"○",IF(AD14=AF14,"△",IF(AD14&lt;AF14,"●",""))))</f>
        <v>○</v>
      </c>
      <c r="AE13" s="409"/>
      <c r="AF13" s="410"/>
      <c r="AG13" s="418">
        <f>AH13*3+AI13-AP13*3-AQ13*3</f>
        <v>11</v>
      </c>
      <c r="AH13" s="451">
        <f>COUNTIF($C13:$AF13,"○")</f>
        <v>3</v>
      </c>
      <c r="AI13" s="414">
        <f>COUNTIF($C13:$AF13,"△")</f>
        <v>2</v>
      </c>
      <c r="AJ13" s="443">
        <f>COUNTIF($C13:$AF13,"●")</f>
        <v>4</v>
      </c>
      <c r="AK13" s="412">
        <f>SUM(C14,F14,I14,L14,O14,R14,U14,X14,AA14,AD14)</f>
        <v>9</v>
      </c>
      <c r="AL13" s="414">
        <f>SUM(E14,H14,K14,N14,Q14,T14,W14,Z14,AC14,AF14)</f>
        <v>16</v>
      </c>
      <c r="AM13" s="416">
        <f>AK13-AL13-AQ13*3</f>
        <v>-7</v>
      </c>
      <c r="AN13" s="418">
        <f>IF(AR13="未","未",RANK(AR13,$AR$3:$AR$22))</f>
        <v>6</v>
      </c>
      <c r="AO13" s="172"/>
      <c r="AP13" s="403"/>
      <c r="AQ13" s="403"/>
      <c r="AR13" s="402">
        <f>IF(AH13+AI13+AJ13=0,"未",AG13*1000+AM13+AK13*0.001)</f>
        <v>10993.009</v>
      </c>
    </row>
    <row r="14" spans="1:44" ht="24.75" customHeight="1">
      <c r="A14" s="428"/>
      <c r="B14" s="449"/>
      <c r="C14" s="42">
        <f>IF(T4="","",T4)</f>
        <v>2</v>
      </c>
      <c r="D14" s="43" t="s">
        <v>5</v>
      </c>
      <c r="E14" s="43">
        <f>IF(R4="","",R4)</f>
        <v>0</v>
      </c>
      <c r="F14" s="44">
        <f>IF(T6="","",T6)</f>
        <v>0</v>
      </c>
      <c r="G14" s="43" t="s">
        <v>5</v>
      </c>
      <c r="H14" s="43">
        <f>IF(R6="","",R6)</f>
        <v>4</v>
      </c>
      <c r="I14" s="44">
        <f>IF(T8="","",T8)</f>
        <v>3</v>
      </c>
      <c r="J14" s="43" t="s">
        <v>5</v>
      </c>
      <c r="K14" s="43">
        <f>IF(R8="","",R8)</f>
        <v>3</v>
      </c>
      <c r="L14" s="44">
        <f>IF(T10="","",T10)</f>
        <v>1</v>
      </c>
      <c r="M14" s="43" t="s">
        <v>5</v>
      </c>
      <c r="N14" s="43">
        <f>IF(R10="","",R10)</f>
        <v>0</v>
      </c>
      <c r="O14" s="44">
        <f>IF(T12="","",T12)</f>
        <v>1</v>
      </c>
      <c r="P14" s="43" t="s">
        <v>5</v>
      </c>
      <c r="Q14" s="45">
        <f>IF(R12="","",R12)</f>
        <v>2</v>
      </c>
      <c r="R14" s="456"/>
      <c r="S14" s="457"/>
      <c r="T14" s="458"/>
      <c r="U14" s="36">
        <f>VLOOKUP(21,'Cブロック日程表（結果）'!$B$3:$Q$48,12,0)</f>
        <v>0</v>
      </c>
      <c r="V14" s="37" t="s">
        <v>40</v>
      </c>
      <c r="W14" s="38">
        <f>VLOOKUP(21,'Cブロック日程表（結果）'!$B$3:$Q$48,10,0)</f>
        <v>3</v>
      </c>
      <c r="X14" s="36">
        <f>VLOOKUP(27,'Cブロック日程表（結果）'!$B$3:$Q$48,12,0)</f>
        <v>1</v>
      </c>
      <c r="Y14" s="37" t="s">
        <v>40</v>
      </c>
      <c r="Z14" s="38">
        <f>VLOOKUP(27,'Cブロック日程表（結果）'!$B$3:$Q$48,10,0)</f>
        <v>1</v>
      </c>
      <c r="AA14" s="36">
        <f>VLOOKUP(34,'Cブロック日程表（結果）'!$B$3:$Q$48,12,0)</f>
        <v>0</v>
      </c>
      <c r="AB14" s="37" t="s">
        <v>40</v>
      </c>
      <c r="AC14" s="38">
        <f>VLOOKUP(34,'Cブロック日程表（結果）'!$B$3:$Q$48,10,0)</f>
        <v>3</v>
      </c>
      <c r="AD14" s="36">
        <f>VLOOKUP(42,'Cブロック日程表（結果）'!$B$3:$Q$48,12,0)</f>
        <v>1</v>
      </c>
      <c r="AE14" s="37" t="s">
        <v>40</v>
      </c>
      <c r="AF14" s="38">
        <f>VLOOKUP(42,'Cブロック日程表（結果）'!$B$3:$Q$48,10,0)</f>
        <v>0</v>
      </c>
      <c r="AG14" s="419"/>
      <c r="AH14" s="452"/>
      <c r="AI14" s="415"/>
      <c r="AJ14" s="444"/>
      <c r="AK14" s="413"/>
      <c r="AL14" s="415"/>
      <c r="AM14" s="417"/>
      <c r="AN14" s="419"/>
      <c r="AO14" s="172"/>
      <c r="AP14" s="403"/>
      <c r="AQ14" s="403"/>
      <c r="AR14" s="402"/>
    </row>
    <row r="15" spans="1:44" ht="24.75" customHeight="1">
      <c r="A15" s="428">
        <v>7</v>
      </c>
      <c r="B15" s="448" t="str">
        <f>'Cブロック日程表（結果）'!N62</f>
        <v>BTMU</v>
      </c>
      <c r="C15" s="450" t="str">
        <f>IF(C16="","",IF(C16&gt;E16,"○",IF(C16=E16,"△",IF(C16&lt;E16,"●",""))))</f>
        <v>△</v>
      </c>
      <c r="D15" s="409"/>
      <c r="E15" s="410"/>
      <c r="F15" s="445" t="str">
        <f>IF(F16="","",IF(F16&gt;H16,"○",IF(F16=H16,"△",IF(F16&lt;H16,"●",""))))</f>
        <v>△</v>
      </c>
      <c r="G15" s="409"/>
      <c r="H15" s="410"/>
      <c r="I15" s="445" t="str">
        <f>IF(I16="","",IF(I16&gt;K16,"○",IF(I16=K16,"△",IF(I16&lt;K16,"●",""))))</f>
        <v>●</v>
      </c>
      <c r="J15" s="409"/>
      <c r="K15" s="410"/>
      <c r="L15" s="445" t="str">
        <f>IF(L16="","",IF(L16&gt;N16,"○",IF(L16=N16,"△",IF(L16&lt;N16,"●",""))))</f>
        <v>△</v>
      </c>
      <c r="M15" s="409"/>
      <c r="N15" s="410"/>
      <c r="O15" s="445" t="str">
        <f>IF(O16="","",IF(O16&gt;Q16,"○",IF(O16=Q16,"△",IF(O16&lt;Q16,"●",""))))</f>
        <v>●</v>
      </c>
      <c r="P15" s="409"/>
      <c r="Q15" s="410"/>
      <c r="R15" s="445" t="str">
        <f>IF(R16="","",IF(R16&gt;T16,"○",IF(R16=T16,"△",IF(R16&lt;T16,"●",""))))</f>
        <v>○</v>
      </c>
      <c r="S15" s="409"/>
      <c r="T15" s="410"/>
      <c r="U15" s="453"/>
      <c r="V15" s="454"/>
      <c r="W15" s="455"/>
      <c r="X15" s="445" t="str">
        <f>IF(X16="","",IF(X16&gt;Z16,"○",IF(X16=Z16,"△",IF(X16&lt;Z16,"●",""))))</f>
        <v>○</v>
      </c>
      <c r="Y15" s="409"/>
      <c r="Z15" s="410"/>
      <c r="AA15" s="445" t="str">
        <f>IF(AA16="","",IF(AA16&gt;AC16,"○",IF(AA16=AC16,"△",IF(AA16&lt;AC16,"●",""))))</f>
        <v>○</v>
      </c>
      <c r="AB15" s="409"/>
      <c r="AC15" s="410"/>
      <c r="AD15" s="445" t="str">
        <f>IF(AD16="","",IF(AD16&gt;AF16,"○",IF(AD16=AF16,"△",IF(AD16&lt;AF16,"●",""))))</f>
        <v>○</v>
      </c>
      <c r="AE15" s="409"/>
      <c r="AF15" s="410"/>
      <c r="AG15" s="418">
        <f>AH15*3+AI15-AP15*3-AQ15*3</f>
        <v>15</v>
      </c>
      <c r="AH15" s="451">
        <f>COUNTIF($C15:$AF15,"○")</f>
        <v>4</v>
      </c>
      <c r="AI15" s="414">
        <f>COUNTIF($C15:$AF15,"△")</f>
        <v>3</v>
      </c>
      <c r="AJ15" s="443">
        <f>COUNTIF($C15:$AF15,"●")</f>
        <v>2</v>
      </c>
      <c r="AK15" s="412">
        <f>SUM(C16,F16,I16,L16,O16,R16,U16,X16,AA16,AD16)</f>
        <v>17</v>
      </c>
      <c r="AL15" s="414">
        <f>SUM(E16,H16,K16,N16,Q16,T16,W16,Z16,AC16,AF16)</f>
        <v>13</v>
      </c>
      <c r="AM15" s="416">
        <f>AK15-AL15-AQ15*3</f>
        <v>4</v>
      </c>
      <c r="AN15" s="418">
        <f>IF(AR15="未","未",RANK(AR15,$AR$3:$AR$22))</f>
        <v>4</v>
      </c>
      <c r="AO15" s="172"/>
      <c r="AP15" s="403"/>
      <c r="AQ15" s="403"/>
      <c r="AR15" s="402">
        <f>IF(AH15+AI15+AJ15=0,"未",AG15*1000+AM15+AK15*0.001)</f>
        <v>15004.017</v>
      </c>
    </row>
    <row r="16" spans="1:44" ht="24.75" customHeight="1">
      <c r="A16" s="428"/>
      <c r="B16" s="449"/>
      <c r="C16" s="42">
        <f>IF(W4="","",W4)</f>
        <v>2</v>
      </c>
      <c r="D16" s="43" t="s">
        <v>5</v>
      </c>
      <c r="E16" s="45">
        <f>IF(U4="","",U4)</f>
        <v>2</v>
      </c>
      <c r="F16" s="44">
        <f>IF(W6="","",W6)</f>
        <v>1</v>
      </c>
      <c r="G16" s="43" t="s">
        <v>5</v>
      </c>
      <c r="H16" s="43">
        <f>IF(U6="","",U6)</f>
        <v>1</v>
      </c>
      <c r="I16" s="44">
        <f>IF(W8="","",W8)</f>
        <v>1</v>
      </c>
      <c r="J16" s="43" t="s">
        <v>5</v>
      </c>
      <c r="K16" s="43">
        <f>IF(U8="","",U8)</f>
        <v>2</v>
      </c>
      <c r="L16" s="44">
        <f>IF(W10="","",W10)</f>
        <v>3</v>
      </c>
      <c r="M16" s="43" t="s">
        <v>5</v>
      </c>
      <c r="N16" s="43">
        <f>IF(U10="","",U10)</f>
        <v>3</v>
      </c>
      <c r="O16" s="44">
        <f>IF(W12="","",W12)</f>
        <v>0</v>
      </c>
      <c r="P16" s="43" t="s">
        <v>5</v>
      </c>
      <c r="Q16" s="45">
        <f>IF(U12="","",U12)</f>
        <v>3</v>
      </c>
      <c r="R16" s="43">
        <f>IF(W14="","",W14)</f>
        <v>3</v>
      </c>
      <c r="S16" s="43" t="s">
        <v>5</v>
      </c>
      <c r="T16" s="45">
        <f>IF(U14="","",U14)</f>
        <v>0</v>
      </c>
      <c r="U16" s="456"/>
      <c r="V16" s="457"/>
      <c r="W16" s="458"/>
      <c r="X16" s="36">
        <f>VLOOKUP(28,'Cブロック日程表（結果）'!$B$3:$Q$48,12,0)</f>
        <v>3</v>
      </c>
      <c r="Y16" s="37" t="s">
        <v>40</v>
      </c>
      <c r="Z16" s="38">
        <f>VLOOKUP(28,'Cブロック日程表（結果）'!$B$3:$Q$48,10,0)</f>
        <v>0</v>
      </c>
      <c r="AA16" s="36">
        <f>VLOOKUP(35,'Cブロック日程表（結果）'!$B$3:$Q$48,12,0)</f>
        <v>1</v>
      </c>
      <c r="AB16" s="37" t="s">
        <v>40</v>
      </c>
      <c r="AC16" s="38">
        <f>VLOOKUP(35,'Cブロック日程表（結果）'!$B$3:$Q$48,10,0)</f>
        <v>0</v>
      </c>
      <c r="AD16" s="36">
        <f>VLOOKUP(43,'Cブロック日程表（結果）'!$B$3:$Q$48,12,0)</f>
        <v>3</v>
      </c>
      <c r="AE16" s="37" t="s">
        <v>40</v>
      </c>
      <c r="AF16" s="38">
        <f>VLOOKUP(43,'Cブロック日程表（結果）'!$B$3:$Q$48,10,0)</f>
        <v>2</v>
      </c>
      <c r="AG16" s="419"/>
      <c r="AH16" s="452"/>
      <c r="AI16" s="415"/>
      <c r="AJ16" s="444"/>
      <c r="AK16" s="413"/>
      <c r="AL16" s="415"/>
      <c r="AM16" s="417"/>
      <c r="AN16" s="419"/>
      <c r="AO16" s="172"/>
      <c r="AP16" s="403"/>
      <c r="AQ16" s="403"/>
      <c r="AR16" s="402"/>
    </row>
    <row r="17" spans="1:44" ht="24.75" customHeight="1">
      <c r="A17" s="428">
        <v>8</v>
      </c>
      <c r="B17" s="448" t="str">
        <f>'Cブロック日程表（結果）'!N63</f>
        <v>OKFC2011</v>
      </c>
      <c r="C17" s="450" t="str">
        <f>IF(C18="","",IF(C18&gt;E18,"○",IF(C18=E18,"△",IF(C18&lt;E18,"●",""))))</f>
        <v>●</v>
      </c>
      <c r="D17" s="409"/>
      <c r="E17" s="409"/>
      <c r="F17" s="445" t="str">
        <f>IF(F18="","",IF(F18&gt;H18,"○",IF(F18=H18,"△",IF(F18&lt;H18,"●",""))))</f>
        <v>●</v>
      </c>
      <c r="G17" s="409"/>
      <c r="H17" s="409"/>
      <c r="I17" s="445" t="str">
        <f>IF(I18="","",IF(I18&gt;K18,"○",IF(I18=K18,"△",IF(I18&lt;K18,"●",""))))</f>
        <v>△</v>
      </c>
      <c r="J17" s="409"/>
      <c r="K17" s="409"/>
      <c r="L17" s="445" t="str">
        <f>IF(L18="","",IF(L18&gt;N18,"○",IF(L18=N18,"△",IF(L18&lt;N18,"●",""))))</f>
        <v>●</v>
      </c>
      <c r="M17" s="409"/>
      <c r="N17" s="409"/>
      <c r="O17" s="445" t="str">
        <f>IF(O18="","",IF(O18&gt;Q18,"○",IF(O18=Q18,"△",IF(O18&lt;Q18,"●",""))))</f>
        <v>●</v>
      </c>
      <c r="P17" s="409"/>
      <c r="Q17" s="410"/>
      <c r="R17" s="445" t="str">
        <f>IF(R18="","",IF(R18&gt;T18,"○",IF(R18=T18,"△",IF(R18&lt;T18,"●",""))))</f>
        <v>△</v>
      </c>
      <c r="S17" s="409"/>
      <c r="T17" s="410"/>
      <c r="U17" s="409" t="str">
        <f>IF(U18="","",IF(U18&gt;W18,"○",IF(U18=W18,"△",IF(U18&lt;W18,"●",""))))</f>
        <v>●</v>
      </c>
      <c r="V17" s="409"/>
      <c r="W17" s="410"/>
      <c r="X17" s="453"/>
      <c r="Y17" s="454"/>
      <c r="Z17" s="455"/>
      <c r="AA17" s="445" t="str">
        <f>IF(AA18="","",IF(AA18&gt;AC18,"○",IF(AA18=AC18,"△",IF(AA18&lt;AC18,"●",""))))</f>
        <v>●</v>
      </c>
      <c r="AB17" s="409"/>
      <c r="AC17" s="410"/>
      <c r="AD17" s="445" t="str">
        <f>IF(AD18="","",IF(AD18&gt;AF18,"○",IF(AD18=AF18,"△",IF(AD18&lt;AF18,"●",""))))</f>
        <v>○</v>
      </c>
      <c r="AE17" s="409"/>
      <c r="AF17" s="459"/>
      <c r="AG17" s="418">
        <f>AH17*3+AI17-AP17*3-AQ17*3</f>
        <v>5</v>
      </c>
      <c r="AH17" s="451">
        <f>COUNTIF($C17:$AF17,"○")</f>
        <v>1</v>
      </c>
      <c r="AI17" s="414">
        <f>COUNTIF($C17:$AF17,"△")</f>
        <v>2</v>
      </c>
      <c r="AJ17" s="443">
        <f>COUNTIF($C17:$AF17,"●")</f>
        <v>6</v>
      </c>
      <c r="AK17" s="412">
        <f>SUM(C18,F18,I18,L18,O18,R18,U18,X18,AA18,AD18)</f>
        <v>6</v>
      </c>
      <c r="AL17" s="414">
        <f>SUM(E18,H18,K18,N18,Q18,T18,W18,Z18,AC18,AF18)</f>
        <v>20</v>
      </c>
      <c r="AM17" s="416">
        <f>AK17-AL17-AQ17*3</f>
        <v>-14</v>
      </c>
      <c r="AN17" s="418">
        <f>IF(AR17="未","未",RANK(AR17,$AR$3:$AR$22))</f>
        <v>10</v>
      </c>
      <c r="AO17" s="172"/>
      <c r="AP17" s="403"/>
      <c r="AQ17" s="403"/>
      <c r="AR17" s="402">
        <f>IF(AH17+AI17+AJ17=0,"未",AG17*1000+AM17+AK17*0.001)</f>
        <v>4986.0060000000003</v>
      </c>
    </row>
    <row r="18" spans="1:44" ht="24.75" customHeight="1">
      <c r="A18" s="428"/>
      <c r="B18" s="449"/>
      <c r="C18" s="42">
        <f>IF(Z4="","",Z4)</f>
        <v>0</v>
      </c>
      <c r="D18" s="43" t="s">
        <v>5</v>
      </c>
      <c r="E18" s="43">
        <f>IF(X4="","",X4)</f>
        <v>3</v>
      </c>
      <c r="F18" s="44">
        <f>IF(Z6="","",Z6)</f>
        <v>0</v>
      </c>
      <c r="G18" s="43" t="s">
        <v>5</v>
      </c>
      <c r="H18" s="43">
        <f>IF(X6="","",X6)</f>
        <v>5</v>
      </c>
      <c r="I18" s="44">
        <f>IF(Z8="","",Z8)</f>
        <v>2</v>
      </c>
      <c r="J18" s="43" t="s">
        <v>5</v>
      </c>
      <c r="K18" s="43">
        <f>IF(X8="","",X8)</f>
        <v>2</v>
      </c>
      <c r="L18" s="44">
        <f>IF(Z10="","",Z10)</f>
        <v>0</v>
      </c>
      <c r="M18" s="43" t="s">
        <v>5</v>
      </c>
      <c r="N18" s="43">
        <f>IF(X10="","",X10)</f>
        <v>2</v>
      </c>
      <c r="O18" s="44">
        <f>IF(Z12="","",Z12)</f>
        <v>1</v>
      </c>
      <c r="P18" s="43" t="s">
        <v>5</v>
      </c>
      <c r="Q18" s="45">
        <f>IF(X12="","",X12)</f>
        <v>2</v>
      </c>
      <c r="R18" s="43">
        <f>IF(Z14="","",Z14)</f>
        <v>1</v>
      </c>
      <c r="S18" s="43" t="s">
        <v>5</v>
      </c>
      <c r="T18" s="45">
        <f>IF(X14="","",X14)</f>
        <v>1</v>
      </c>
      <c r="U18" s="43">
        <f>IF(Z16="","",Z16)</f>
        <v>0</v>
      </c>
      <c r="V18" s="43" t="s">
        <v>5</v>
      </c>
      <c r="W18" s="45">
        <f>IF(X16="","",X16)</f>
        <v>3</v>
      </c>
      <c r="X18" s="456"/>
      <c r="Y18" s="457"/>
      <c r="Z18" s="458"/>
      <c r="AA18" s="78">
        <f>VLOOKUP(36,'Cブロック日程表（結果）'!$B$3:$Q$48,12,0)</f>
        <v>1</v>
      </c>
      <c r="AB18" s="43" t="s">
        <v>40</v>
      </c>
      <c r="AC18" s="87">
        <f>VLOOKUP(36,'Cブロック日程表（結果）'!$B$3:$Q$48,10,0)</f>
        <v>2</v>
      </c>
      <c r="AD18" s="78">
        <f>VLOOKUP(44,'Cブロック日程表（結果）'!$B$3:$Q$48,12,0)</f>
        <v>1</v>
      </c>
      <c r="AE18" s="43" t="s">
        <v>40</v>
      </c>
      <c r="AF18" s="88">
        <f>VLOOKUP(44,'Cブロック日程表（結果）'!$B$3:$Q$48,10,0)</f>
        <v>0</v>
      </c>
      <c r="AG18" s="419"/>
      <c r="AH18" s="452"/>
      <c r="AI18" s="415"/>
      <c r="AJ18" s="444"/>
      <c r="AK18" s="413"/>
      <c r="AL18" s="415"/>
      <c r="AM18" s="417"/>
      <c r="AN18" s="419"/>
      <c r="AO18" s="172"/>
      <c r="AP18" s="403"/>
      <c r="AQ18" s="403"/>
      <c r="AR18" s="402"/>
    </row>
    <row r="19" spans="1:44" ht="24.75" customHeight="1">
      <c r="A19" s="428">
        <v>9</v>
      </c>
      <c r="B19" s="448" t="str">
        <f>'Cブロック日程表（結果）'!N64</f>
        <v>エルマーノ大阪サッカークラブ</v>
      </c>
      <c r="C19" s="450" t="str">
        <f>IF(C20="","",IF(C20&gt;E20,"○",IF(C20=E20,"△",IF(C20&lt;E20,"●",""))))</f>
        <v>●</v>
      </c>
      <c r="D19" s="409"/>
      <c r="E19" s="409"/>
      <c r="F19" s="445" t="str">
        <f>IF(F20="","",IF(F20&gt;H20,"○",IF(F20=H20,"△",IF(F20&lt;H20,"●",""))))</f>
        <v>●</v>
      </c>
      <c r="G19" s="409"/>
      <c r="H19" s="409"/>
      <c r="I19" s="445" t="str">
        <f>IF(I20="","",IF(I20&gt;K20,"○",IF(I20=K20,"△",IF(I20&lt;K20,"●",""))))</f>
        <v>○</v>
      </c>
      <c r="J19" s="409"/>
      <c r="K19" s="409"/>
      <c r="L19" s="445" t="str">
        <f>IF(L20="","",IF(L20&gt;N20,"○",IF(L20=N20,"△",IF(L20&lt;N20,"●",""))))</f>
        <v>●</v>
      </c>
      <c r="M19" s="409"/>
      <c r="N19" s="409"/>
      <c r="O19" s="445" t="str">
        <f>IF(O20="","",IF(O20&gt;Q20,"○",IF(O20=Q20,"△",IF(O20&lt;Q20,"●",""))))</f>
        <v>●</v>
      </c>
      <c r="P19" s="409"/>
      <c r="Q19" s="410"/>
      <c r="R19" s="445" t="str">
        <f>IF(R20="","",IF(R20&gt;T20,"○",IF(R20=T20,"△",IF(R20&lt;T20,"●",""))))</f>
        <v>○</v>
      </c>
      <c r="S19" s="409"/>
      <c r="T19" s="410"/>
      <c r="U19" s="409" t="str">
        <f>IF(U20="","",IF(U20&gt;W20,"○",IF(U20=W20,"△",IF(U20&lt;W20,"●",""))))</f>
        <v>●</v>
      </c>
      <c r="V19" s="409"/>
      <c r="W19" s="410"/>
      <c r="X19" s="409" t="str">
        <f>IF(X20="","",IF(X20&gt;Z20,"○",IF(X20=Z20,"△",IF(X20&lt;Z20,"●",""))))</f>
        <v>○</v>
      </c>
      <c r="Y19" s="409"/>
      <c r="Z19" s="410"/>
      <c r="AA19" s="453"/>
      <c r="AB19" s="454"/>
      <c r="AC19" s="455"/>
      <c r="AD19" s="445" t="str">
        <f>IF(AD20="","",IF(AD20&gt;AF20,"○",IF(AD20=AF20,"△",IF(AD20&lt;AF20,"●",""))))</f>
        <v>●</v>
      </c>
      <c r="AE19" s="409"/>
      <c r="AF19" s="459"/>
      <c r="AG19" s="418">
        <f>AH19*3+AI19-AP19*3-AQ19*3</f>
        <v>9</v>
      </c>
      <c r="AH19" s="451">
        <f>COUNTIF($C19:$AF19,"○")</f>
        <v>3</v>
      </c>
      <c r="AI19" s="414">
        <f>COUNTIF($C19:$AF19,"△")</f>
        <v>0</v>
      </c>
      <c r="AJ19" s="443">
        <f>COUNTIF($C19:$AF19,"●")</f>
        <v>6</v>
      </c>
      <c r="AK19" s="412">
        <f>SUM(C20,F20,I20,L20,O20,R20,U20,X20,AA20,AD20)</f>
        <v>13</v>
      </c>
      <c r="AL19" s="414">
        <f>SUM(E20,H20,K20,N20,Q20,T20,W20,Z20,AC20,AF20)</f>
        <v>24</v>
      </c>
      <c r="AM19" s="416">
        <f>AK19-AL19-AQ19*3</f>
        <v>-11</v>
      </c>
      <c r="AN19" s="418">
        <f>IF(AR19="未","未",RANK(AR19,$AR$3:$AR$22))</f>
        <v>7</v>
      </c>
      <c r="AO19" s="172"/>
      <c r="AP19" s="403"/>
      <c r="AQ19" s="403"/>
      <c r="AR19" s="402">
        <f>IF(AH19+AI19+AJ19=0,"未",AG19*1000+AM19+AK19*0.001)</f>
        <v>8989.0130000000008</v>
      </c>
    </row>
    <row r="20" spans="1:44" ht="24.75" customHeight="1">
      <c r="A20" s="428"/>
      <c r="B20" s="449"/>
      <c r="C20" s="42">
        <f>IF(AC4="","",AC4)</f>
        <v>0</v>
      </c>
      <c r="D20" s="43" t="s">
        <v>5</v>
      </c>
      <c r="E20" s="43">
        <f>IF(AA4="","",AA4)</f>
        <v>4</v>
      </c>
      <c r="F20" s="44">
        <f>IF(AC6="","",AC6)</f>
        <v>1</v>
      </c>
      <c r="G20" s="43" t="s">
        <v>5</v>
      </c>
      <c r="H20" s="43">
        <f>IF(AA6="","",AA6)</f>
        <v>3</v>
      </c>
      <c r="I20" s="44">
        <f>IF(AC8="","",AC8)</f>
        <v>3</v>
      </c>
      <c r="J20" s="43" t="s">
        <v>5</v>
      </c>
      <c r="K20" s="43">
        <f>IF(AA8="","",AA8)</f>
        <v>1</v>
      </c>
      <c r="L20" s="44">
        <f>IF(AC10="","",AC10)</f>
        <v>1</v>
      </c>
      <c r="M20" s="43" t="s">
        <v>5</v>
      </c>
      <c r="N20" s="43">
        <f>IF(AA10="","",AA10)</f>
        <v>5</v>
      </c>
      <c r="O20" s="44">
        <f>IF(AC12="","",AC12)</f>
        <v>1</v>
      </c>
      <c r="P20" s="43" t="s">
        <v>5</v>
      </c>
      <c r="Q20" s="45">
        <f>IF(AA12="","",AA12)</f>
        <v>6</v>
      </c>
      <c r="R20" s="43">
        <f>IF(AC14="","",AC14)</f>
        <v>3</v>
      </c>
      <c r="S20" s="43" t="s">
        <v>5</v>
      </c>
      <c r="T20" s="45">
        <f>IF(AA14="","",AA14)</f>
        <v>0</v>
      </c>
      <c r="U20" s="43">
        <f>IF(AC16="","",AC16)</f>
        <v>0</v>
      </c>
      <c r="V20" s="43" t="s">
        <v>5</v>
      </c>
      <c r="W20" s="45">
        <f>IF(AA16="","",AA16)</f>
        <v>1</v>
      </c>
      <c r="X20" s="43">
        <f>IF(AC18="","",AC18)</f>
        <v>2</v>
      </c>
      <c r="Y20" s="43" t="s">
        <v>5</v>
      </c>
      <c r="Z20" s="45">
        <f>IF(AA18="","",AA18)</f>
        <v>1</v>
      </c>
      <c r="AA20" s="456"/>
      <c r="AB20" s="457"/>
      <c r="AC20" s="458"/>
      <c r="AD20" s="78">
        <f>VLOOKUP(45,'Cブロック日程表（結果）'!$B$3:$Q$48,12,0)</f>
        <v>2</v>
      </c>
      <c r="AE20" s="43" t="s">
        <v>40</v>
      </c>
      <c r="AF20" s="88">
        <f>VLOOKUP(45,'Cブロック日程表（結果）'!$B$3:$Q$48,10,0)</f>
        <v>3</v>
      </c>
      <c r="AG20" s="419"/>
      <c r="AH20" s="452"/>
      <c r="AI20" s="415"/>
      <c r="AJ20" s="444"/>
      <c r="AK20" s="413"/>
      <c r="AL20" s="415"/>
      <c r="AM20" s="417"/>
      <c r="AN20" s="419"/>
      <c r="AO20" s="172"/>
      <c r="AP20" s="403"/>
      <c r="AQ20" s="403"/>
      <c r="AR20" s="402"/>
    </row>
    <row r="21" spans="1:44" ht="24.75" customHeight="1">
      <c r="A21" s="428">
        <v>10</v>
      </c>
      <c r="B21" s="429" t="str">
        <f>'Cブロック日程表（結果）'!N65</f>
        <v>FCボニート</v>
      </c>
      <c r="C21" s="431" t="str">
        <f>IF(C22="","",IF(C22&gt;E22,"○",IF(C22=E22,"△",IF(C22&lt;E22,"●",""))))</f>
        <v>●</v>
      </c>
      <c r="D21" s="432"/>
      <c r="E21" s="432"/>
      <c r="F21" s="433" t="str">
        <f>IF(F22="","",IF(F22&gt;H22,"○",IF(F22=H22,"△",IF(F22&lt;H22,"●",""))))</f>
        <v>●</v>
      </c>
      <c r="G21" s="432"/>
      <c r="H21" s="432"/>
      <c r="I21" s="433" t="str">
        <f>IF(I22="","",IF(I22&gt;K22,"○",IF(I22=K22,"△",IF(I22&lt;K22,"●",""))))</f>
        <v>○</v>
      </c>
      <c r="J21" s="432"/>
      <c r="K21" s="432"/>
      <c r="L21" s="433" t="str">
        <f>IF(L22="","",IF(L22&gt;N22,"○",IF(L22=N22,"△",IF(L22&lt;N22,"●",""))))</f>
        <v>●</v>
      </c>
      <c r="M21" s="432"/>
      <c r="N21" s="432"/>
      <c r="O21" s="433" t="str">
        <f>IF(O22="","",IF(O22&gt;Q22,"○",IF(O22=Q22,"△",IF(O22&lt;Q22,"●",""))))</f>
        <v>●</v>
      </c>
      <c r="P21" s="432"/>
      <c r="Q21" s="434"/>
      <c r="R21" s="433" t="str">
        <f>IF(R22="","",IF(R22&gt;T22,"○",IF(R22=T22,"△",IF(R22&lt;T22,"●",""))))</f>
        <v>●</v>
      </c>
      <c r="S21" s="432"/>
      <c r="T21" s="434"/>
      <c r="U21" s="432" t="str">
        <f>IF(U22="","",IF(U22&gt;W22,"○",IF(U22=W22,"△",IF(U22&lt;W22,"●",""))))</f>
        <v>●</v>
      </c>
      <c r="V21" s="432"/>
      <c r="W21" s="434"/>
      <c r="X21" s="433" t="str">
        <f>IF(X22="","",IF(X22&gt;Z22,"○",IF(X22=Z22,"△",IF(X22&lt;Z22,"●",""))))</f>
        <v>●</v>
      </c>
      <c r="Y21" s="432"/>
      <c r="Z21" s="434"/>
      <c r="AA21" s="433" t="str">
        <f>IF(AA22="","",IF(AA22&gt;AC22,"○",IF(AA22=AC22,"△",IF(AA22&lt;AC22,"●",""))))</f>
        <v>○</v>
      </c>
      <c r="AB21" s="432"/>
      <c r="AC21" s="434"/>
      <c r="AD21" s="435"/>
      <c r="AE21" s="436"/>
      <c r="AF21" s="437"/>
      <c r="AG21" s="426">
        <f>AH21*3+AI21-AP21*3-AQ21*3</f>
        <v>6</v>
      </c>
      <c r="AH21" s="420">
        <f>COUNTIF($C21:$AF21,"○")</f>
        <v>2</v>
      </c>
      <c r="AI21" s="422">
        <f>COUNTIF($C21:$AF21,"△")</f>
        <v>0</v>
      </c>
      <c r="AJ21" s="424">
        <f>COUNTIF($C21:$AF21,"●")</f>
        <v>7</v>
      </c>
      <c r="AK21" s="441">
        <f>SUM(C22,F22,I22,L22,O22,R22,U22,X22,AA22,AD22)</f>
        <v>10</v>
      </c>
      <c r="AL21" s="422">
        <f>SUM(E22,H22,K22,N22,Q22,T22,W22,Z22,AC22,AF22)</f>
        <v>27</v>
      </c>
      <c r="AM21" s="446">
        <f>AK21-AL21-AQ21*3</f>
        <v>-17</v>
      </c>
      <c r="AN21" s="426">
        <f>IF(AR21="未","未",RANK(AR21,$AR$3:$AR$22))</f>
        <v>9</v>
      </c>
      <c r="AO21" s="172"/>
      <c r="AP21" s="403"/>
      <c r="AQ21" s="403"/>
      <c r="AR21" s="402">
        <f>IF(AH21+AI21+AJ21=0,"未",AG21*1000+AM21+AK21*0.001)</f>
        <v>5983.01</v>
      </c>
    </row>
    <row r="22" spans="1:44" ht="24.75" customHeight="1" thickBot="1">
      <c r="A22" s="428"/>
      <c r="B22" s="430"/>
      <c r="C22" s="55">
        <f>IF(AF4="","",AF4)</f>
        <v>0</v>
      </c>
      <c r="D22" s="35" t="s">
        <v>5</v>
      </c>
      <c r="E22" s="35">
        <f>IF(AD4="","",AD4)</f>
        <v>5</v>
      </c>
      <c r="F22" s="56">
        <f>IF(AF6="","",AF6)</f>
        <v>0</v>
      </c>
      <c r="G22" s="35" t="s">
        <v>5</v>
      </c>
      <c r="H22" s="35">
        <f>IF(AD6="","",AD6)</f>
        <v>5</v>
      </c>
      <c r="I22" s="56">
        <f>IF(AF8="","",AF8)</f>
        <v>5</v>
      </c>
      <c r="J22" s="35" t="s">
        <v>5</v>
      </c>
      <c r="K22" s="35">
        <f>IF(AD8="","",AD8)</f>
        <v>3</v>
      </c>
      <c r="L22" s="56">
        <f>IF(AF10="","",AF10)</f>
        <v>0</v>
      </c>
      <c r="M22" s="35" t="s">
        <v>5</v>
      </c>
      <c r="N22" s="35">
        <f>IF(AD10="","",AD10)</f>
        <v>4</v>
      </c>
      <c r="O22" s="56">
        <f>IF(AF12="","",AF12)</f>
        <v>0</v>
      </c>
      <c r="P22" s="35" t="s">
        <v>5</v>
      </c>
      <c r="Q22" s="57">
        <f>IF(AD12="","",AD12)</f>
        <v>3</v>
      </c>
      <c r="R22" s="35">
        <f>IF(AF14="","",AF14)</f>
        <v>0</v>
      </c>
      <c r="S22" s="35" t="s">
        <v>5</v>
      </c>
      <c r="T22" s="57">
        <f>IF(AD14="","",AD14)</f>
        <v>1</v>
      </c>
      <c r="U22" s="35">
        <f>IF(AF16="","",AF16)</f>
        <v>2</v>
      </c>
      <c r="V22" s="35" t="s">
        <v>5</v>
      </c>
      <c r="W22" s="57">
        <f>IF(AD16="","",AD16)</f>
        <v>3</v>
      </c>
      <c r="X22" s="89">
        <f>IF(AF18="","",AF18)</f>
        <v>0</v>
      </c>
      <c r="Y22" s="35" t="s">
        <v>5</v>
      </c>
      <c r="Z22" s="90">
        <f>IF(AD18="","",AD18)</f>
        <v>1</v>
      </c>
      <c r="AA22" s="89">
        <f>IF(AF20="","",AF20)</f>
        <v>3</v>
      </c>
      <c r="AB22" s="35" t="s">
        <v>5</v>
      </c>
      <c r="AC22" s="90">
        <f>IF(AD20="","",AD20)</f>
        <v>2</v>
      </c>
      <c r="AD22" s="438"/>
      <c r="AE22" s="439"/>
      <c r="AF22" s="440"/>
      <c r="AG22" s="427"/>
      <c r="AH22" s="421"/>
      <c r="AI22" s="423"/>
      <c r="AJ22" s="425"/>
      <c r="AK22" s="442"/>
      <c r="AL22" s="423"/>
      <c r="AM22" s="447"/>
      <c r="AN22" s="427"/>
      <c r="AO22" s="172"/>
      <c r="AP22" s="403"/>
      <c r="AQ22" s="403"/>
      <c r="AR22" s="402"/>
    </row>
    <row r="23" spans="1:44" ht="24.75" customHeight="1">
      <c r="F23" s="1" t="s">
        <v>63</v>
      </c>
      <c r="T23" s="1" t="s">
        <v>83</v>
      </c>
      <c r="AH23" s="54">
        <f>SUM(AH3:AH22)</f>
        <v>35</v>
      </c>
      <c r="AI23" s="54">
        <f>SUM(AI3:AI22)</f>
        <v>20</v>
      </c>
      <c r="AJ23" s="54">
        <f>SUM(AJ3:AJ22)</f>
        <v>35</v>
      </c>
      <c r="AK23" s="54"/>
      <c r="AL23" s="54">
        <f>SUM(AK3:AK22)</f>
        <v>161</v>
      </c>
      <c r="AM23" s="54">
        <f>SUM(AL3:AL22)</f>
        <v>161</v>
      </c>
      <c r="AN23" s="54">
        <f>SUM(AM3:AM22)</f>
        <v>0</v>
      </c>
      <c r="AO23" s="54"/>
      <c r="AP23" s="54"/>
      <c r="AQ23" s="54"/>
      <c r="AR23" s="54"/>
    </row>
    <row r="24" spans="1:44" ht="27.75" customHeight="1">
      <c r="AH24" s="47"/>
      <c r="AI24" s="47"/>
      <c r="AJ24" s="47"/>
      <c r="AK24" s="47"/>
    </row>
    <row r="25" spans="1:44" ht="27.75" customHeight="1">
      <c r="AL25" s="41"/>
      <c r="AM25" s="41"/>
      <c r="AN25" s="41"/>
      <c r="AO25" s="41"/>
      <c r="AP25" s="41"/>
      <c r="AQ25" s="41"/>
      <c r="AR25" s="41"/>
    </row>
    <row r="26" spans="1:44" ht="27.75" customHeight="1">
      <c r="AL26" s="41"/>
      <c r="AM26" s="41"/>
      <c r="AN26" s="41"/>
      <c r="AO26" s="41"/>
      <c r="AP26" s="41"/>
      <c r="AQ26" s="41"/>
      <c r="AR26" s="41"/>
    </row>
    <row r="27" spans="1:44" ht="27.75" customHeight="1">
      <c r="AL27" s="41"/>
      <c r="AM27" s="41"/>
      <c r="AN27" s="41"/>
      <c r="AO27" s="41"/>
      <c r="AP27" s="41"/>
      <c r="AQ27" s="41"/>
      <c r="AR27" s="41"/>
    </row>
    <row r="28" spans="1:44" ht="27.75" customHeight="1">
      <c r="AL28" s="41"/>
      <c r="AM28" s="41"/>
      <c r="AN28" s="41"/>
      <c r="AO28" s="41"/>
      <c r="AP28" s="41"/>
      <c r="AQ28" s="41"/>
      <c r="AR28" s="41"/>
    </row>
    <row r="29" spans="1:44" ht="27.75" customHeight="1">
      <c r="AL29" s="41"/>
      <c r="AM29" s="41"/>
      <c r="AN29" s="41"/>
      <c r="AO29" s="41"/>
      <c r="AP29" s="41"/>
      <c r="AQ29" s="41"/>
      <c r="AR29" s="41"/>
    </row>
    <row r="30" spans="1:44" ht="27.75" customHeight="1">
      <c r="AL30" s="41"/>
      <c r="AM30" s="41"/>
      <c r="AN30" s="41"/>
      <c r="AO30" s="41"/>
      <c r="AP30" s="41"/>
      <c r="AQ30" s="41"/>
      <c r="AR30" s="41"/>
    </row>
    <row r="31" spans="1:44" ht="27.75" customHeight="1">
      <c r="AL31" s="41"/>
      <c r="AM31" s="41"/>
      <c r="AN31" s="41"/>
      <c r="AO31" s="41"/>
      <c r="AP31" s="41"/>
      <c r="AQ31" s="41"/>
      <c r="AR31" s="41"/>
    </row>
    <row r="32" spans="1:44" ht="27.75" customHeight="1">
      <c r="AL32" s="41"/>
      <c r="AM32" s="41"/>
      <c r="AN32" s="41"/>
      <c r="AO32" s="41"/>
      <c r="AP32" s="41"/>
      <c r="AQ32" s="41"/>
      <c r="AR32" s="41"/>
    </row>
    <row r="33" ht="27.75" customHeight="1"/>
    <row r="35" ht="13.5" customHeight="1"/>
    <row r="36" ht="13.5" customHeight="1"/>
  </sheetData>
  <mergeCells count="241">
    <mergeCell ref="AQ15:AQ16"/>
    <mergeCell ref="AQ17:AQ18"/>
    <mergeCell ref="AQ19:AQ20"/>
    <mergeCell ref="AQ21:AQ22"/>
    <mergeCell ref="AQ3:AQ4"/>
    <mergeCell ref="AQ5:AQ6"/>
    <mergeCell ref="AQ7:AQ8"/>
    <mergeCell ref="AQ9:AQ10"/>
    <mergeCell ref="AQ11:AQ12"/>
    <mergeCell ref="AQ13:AQ14"/>
    <mergeCell ref="B1:L1"/>
    <mergeCell ref="C2:E2"/>
    <mergeCell ref="F2:H2"/>
    <mergeCell ref="I2:K2"/>
    <mergeCell ref="L2:N2"/>
    <mergeCell ref="O2:Q2"/>
    <mergeCell ref="R2:T2"/>
    <mergeCell ref="U2:W2"/>
    <mergeCell ref="X2:Z2"/>
    <mergeCell ref="AG3:AG4"/>
    <mergeCell ref="AK3:AK4"/>
    <mergeCell ref="AL3:AL4"/>
    <mergeCell ref="AM3:AM4"/>
    <mergeCell ref="AN3:AN4"/>
    <mergeCell ref="A3:A4"/>
    <mergeCell ref="B3:B4"/>
    <mergeCell ref="C3:E4"/>
    <mergeCell ref="F3:H3"/>
    <mergeCell ref="I3:K3"/>
    <mergeCell ref="L3:N3"/>
    <mergeCell ref="O3:Q3"/>
    <mergeCell ref="R3:T3"/>
    <mergeCell ref="U3:W3"/>
    <mergeCell ref="AR3:AR4"/>
    <mergeCell ref="A5:A6"/>
    <mergeCell ref="B5:B6"/>
    <mergeCell ref="C5:E5"/>
    <mergeCell ref="F5:H6"/>
    <mergeCell ref="I5:K5"/>
    <mergeCell ref="L5:N5"/>
    <mergeCell ref="O5:Q5"/>
    <mergeCell ref="R5:T5"/>
    <mergeCell ref="U5:W5"/>
    <mergeCell ref="X5:Z5"/>
    <mergeCell ref="AH5:AH6"/>
    <mergeCell ref="AI5:AI6"/>
    <mergeCell ref="AJ5:AJ6"/>
    <mergeCell ref="AG5:AG6"/>
    <mergeCell ref="AK5:AK6"/>
    <mergeCell ref="AL5:AL6"/>
    <mergeCell ref="AM5:AM6"/>
    <mergeCell ref="AN5:AN6"/>
    <mergeCell ref="AR5:AR6"/>
    <mergeCell ref="X3:Z3"/>
    <mergeCell ref="AH3:AH4"/>
    <mergeCell ref="AI3:AI4"/>
    <mergeCell ref="AJ3:AJ4"/>
    <mergeCell ref="AG7:AG8"/>
    <mergeCell ref="AK7:AK8"/>
    <mergeCell ref="AL7:AL8"/>
    <mergeCell ref="AM7:AM8"/>
    <mergeCell ref="AN7:AN8"/>
    <mergeCell ref="A7:A8"/>
    <mergeCell ref="B7:B8"/>
    <mergeCell ref="C7:E7"/>
    <mergeCell ref="F7:H7"/>
    <mergeCell ref="I7:K8"/>
    <mergeCell ref="L7:N7"/>
    <mergeCell ref="O7:Q7"/>
    <mergeCell ref="R7:T7"/>
    <mergeCell ref="U7:W7"/>
    <mergeCell ref="AR7:AR8"/>
    <mergeCell ref="A9:A10"/>
    <mergeCell ref="B9:B10"/>
    <mergeCell ref="C9:E9"/>
    <mergeCell ref="F9:H9"/>
    <mergeCell ref="I9:K9"/>
    <mergeCell ref="L9:N10"/>
    <mergeCell ref="O9:Q9"/>
    <mergeCell ref="R9:T9"/>
    <mergeCell ref="U9:W9"/>
    <mergeCell ref="X9:Z9"/>
    <mergeCell ref="AH9:AH10"/>
    <mergeCell ref="AI9:AI10"/>
    <mergeCell ref="AJ9:AJ10"/>
    <mergeCell ref="AG9:AG10"/>
    <mergeCell ref="AK9:AK10"/>
    <mergeCell ref="AL9:AL10"/>
    <mergeCell ref="AM9:AM10"/>
    <mergeCell ref="AN9:AN10"/>
    <mergeCell ref="AR9:AR10"/>
    <mergeCell ref="X7:Z7"/>
    <mergeCell ref="AH7:AH8"/>
    <mergeCell ref="AI7:AI8"/>
    <mergeCell ref="AJ7:AJ8"/>
    <mergeCell ref="AI11:AI12"/>
    <mergeCell ref="AJ11:AJ12"/>
    <mergeCell ref="AG11:AG12"/>
    <mergeCell ref="AK11:AK12"/>
    <mergeCell ref="AL11:AL12"/>
    <mergeCell ref="AM11:AM12"/>
    <mergeCell ref="AN11:AN12"/>
    <mergeCell ref="A11:A12"/>
    <mergeCell ref="B11:B12"/>
    <mergeCell ref="C11:E11"/>
    <mergeCell ref="F11:H11"/>
    <mergeCell ref="I11:K11"/>
    <mergeCell ref="L11:N11"/>
    <mergeCell ref="O11:Q12"/>
    <mergeCell ref="R11:T11"/>
    <mergeCell ref="U11:W11"/>
    <mergeCell ref="AR11:AR12"/>
    <mergeCell ref="A13:A14"/>
    <mergeCell ref="B13:B14"/>
    <mergeCell ref="C13:E13"/>
    <mergeCell ref="F13:H13"/>
    <mergeCell ref="I13:K13"/>
    <mergeCell ref="L13:N13"/>
    <mergeCell ref="O13:Q13"/>
    <mergeCell ref="R13:T14"/>
    <mergeCell ref="U13:W13"/>
    <mergeCell ref="X13:Z13"/>
    <mergeCell ref="AH13:AH14"/>
    <mergeCell ref="AI13:AI14"/>
    <mergeCell ref="AA13:AC13"/>
    <mergeCell ref="AD13:AF13"/>
    <mergeCell ref="AJ13:AJ14"/>
    <mergeCell ref="AG13:AG14"/>
    <mergeCell ref="AK13:AK14"/>
    <mergeCell ref="AL13:AL14"/>
    <mergeCell ref="AM13:AM14"/>
    <mergeCell ref="AN13:AN14"/>
    <mergeCell ref="AR13:AR14"/>
    <mergeCell ref="X11:Z11"/>
    <mergeCell ref="AH11:AH12"/>
    <mergeCell ref="A15:A16"/>
    <mergeCell ref="B15:B16"/>
    <mergeCell ref="C15:E15"/>
    <mergeCell ref="F15:H15"/>
    <mergeCell ref="I15:K15"/>
    <mergeCell ref="L15:N15"/>
    <mergeCell ref="O15:Q15"/>
    <mergeCell ref="R15:T15"/>
    <mergeCell ref="U15:W16"/>
    <mergeCell ref="AR15:AR16"/>
    <mergeCell ref="A17:A18"/>
    <mergeCell ref="B17:B18"/>
    <mergeCell ref="C17:E17"/>
    <mergeCell ref="F17:H17"/>
    <mergeCell ref="I17:K17"/>
    <mergeCell ref="L17:N17"/>
    <mergeCell ref="O17:Q17"/>
    <mergeCell ref="R17:T17"/>
    <mergeCell ref="U17:W17"/>
    <mergeCell ref="X17:Z18"/>
    <mergeCell ref="AH17:AH18"/>
    <mergeCell ref="AI17:AI18"/>
    <mergeCell ref="AA17:AC17"/>
    <mergeCell ref="AD17:AF17"/>
    <mergeCell ref="AR17:AR18"/>
    <mergeCell ref="AJ17:AJ18"/>
    <mergeCell ref="AG17:AG18"/>
    <mergeCell ref="AK17:AK18"/>
    <mergeCell ref="AL17:AL18"/>
    <mergeCell ref="AM17:AM18"/>
    <mergeCell ref="AN17:AN18"/>
    <mergeCell ref="X15:Z15"/>
    <mergeCell ref="AH15:AH16"/>
    <mergeCell ref="AP3:AP4"/>
    <mergeCell ref="AP5:AP6"/>
    <mergeCell ref="AP7:AP8"/>
    <mergeCell ref="AP9:AP10"/>
    <mergeCell ref="AP11:AP12"/>
    <mergeCell ref="AP13:AP14"/>
    <mergeCell ref="A19:A20"/>
    <mergeCell ref="B19:B20"/>
    <mergeCell ref="C19:E19"/>
    <mergeCell ref="F19:H19"/>
    <mergeCell ref="I19:K19"/>
    <mergeCell ref="L19:N19"/>
    <mergeCell ref="O19:Q19"/>
    <mergeCell ref="R19:T19"/>
    <mergeCell ref="U19:W19"/>
    <mergeCell ref="AH19:AH20"/>
    <mergeCell ref="AI19:AI20"/>
    <mergeCell ref="AA19:AC20"/>
    <mergeCell ref="AD19:AF19"/>
    <mergeCell ref="X19:Z19"/>
    <mergeCell ref="AJ19:AJ20"/>
    <mergeCell ref="AG19:AG20"/>
    <mergeCell ref="AM15:AM16"/>
    <mergeCell ref="AN15:AN16"/>
    <mergeCell ref="AD21:AF22"/>
    <mergeCell ref="AA21:AC21"/>
    <mergeCell ref="X21:Z21"/>
    <mergeCell ref="AK21:AK22"/>
    <mergeCell ref="AL21:AL22"/>
    <mergeCell ref="AP15:AP16"/>
    <mergeCell ref="AP17:AP18"/>
    <mergeCell ref="AI15:AI16"/>
    <mergeCell ref="AJ15:AJ16"/>
    <mergeCell ref="AG15:AG16"/>
    <mergeCell ref="AK15:AK16"/>
    <mergeCell ref="AA15:AC15"/>
    <mergeCell ref="AD15:AF15"/>
    <mergeCell ref="AL15:AL16"/>
    <mergeCell ref="AM21:AM22"/>
    <mergeCell ref="AN21:AN22"/>
    <mergeCell ref="A21:A22"/>
    <mergeCell ref="B21:B22"/>
    <mergeCell ref="C21:E21"/>
    <mergeCell ref="F21:H21"/>
    <mergeCell ref="I21:K21"/>
    <mergeCell ref="L21:N21"/>
    <mergeCell ref="O21:Q21"/>
    <mergeCell ref="R21:T21"/>
    <mergeCell ref="U21:W21"/>
    <mergeCell ref="AR21:AR22"/>
    <mergeCell ref="AP21:AP22"/>
    <mergeCell ref="AA2:AC2"/>
    <mergeCell ref="AA3:AC3"/>
    <mergeCell ref="AA5:AC5"/>
    <mergeCell ref="AA7:AC7"/>
    <mergeCell ref="AA9:AC9"/>
    <mergeCell ref="AA11:AC11"/>
    <mergeCell ref="AD2:AF2"/>
    <mergeCell ref="AD3:AF3"/>
    <mergeCell ref="AD5:AF5"/>
    <mergeCell ref="AD7:AF7"/>
    <mergeCell ref="AD9:AF9"/>
    <mergeCell ref="AD11:AF11"/>
    <mergeCell ref="AK19:AK20"/>
    <mergeCell ref="AL19:AL20"/>
    <mergeCell ref="AM19:AM20"/>
    <mergeCell ref="AN19:AN20"/>
    <mergeCell ref="AR19:AR20"/>
    <mergeCell ref="AP19:AP20"/>
    <mergeCell ref="AH21:AH22"/>
    <mergeCell ref="AI21:AI22"/>
    <mergeCell ref="AJ21:AJ22"/>
    <mergeCell ref="AG21:AG22"/>
  </mergeCells>
  <phoneticPr fontId="3"/>
  <pageMargins left="0.70866141732283472" right="0.70866141732283472" top="0.74803149606299213" bottom="0.74803149606299213" header="0.31496062992125984" footer="0.31496062992125984"/>
  <pageSetup paperSize="9" scale="83" orientation="landscape" r:id="rId1"/>
  <colBreaks count="1" manualBreakCount="1">
    <brk id="44" max="1048575" man="1"/>
  </colBreaks>
</worksheet>
</file>

<file path=xl/worksheets/sheet4.xml><?xml version="1.0" encoding="utf-8"?>
<worksheet xmlns="http://schemas.openxmlformats.org/spreadsheetml/2006/main" xmlns:r="http://schemas.openxmlformats.org/officeDocument/2006/relationships">
  <dimension ref="A1:Q20"/>
  <sheetViews>
    <sheetView workbookViewId="0">
      <selection activeCell="L18" sqref="L18"/>
    </sheetView>
  </sheetViews>
  <sheetFormatPr defaultRowHeight="13.5"/>
  <cols>
    <col min="1" max="1" width="26.625" customWidth="1"/>
    <col min="2" max="2" width="5.375" customWidth="1"/>
    <col min="3" max="3" width="4.25" customWidth="1"/>
    <col min="4" max="4" width="5.375" customWidth="1"/>
    <col min="5" max="5" width="4.125" customWidth="1"/>
    <col min="6" max="6" width="20" customWidth="1"/>
    <col min="7" max="7" width="5.875" customWidth="1"/>
    <col min="8" max="8" width="20" customWidth="1"/>
    <col min="9" max="9" width="3.875" customWidth="1"/>
    <col min="10" max="10" width="10.375" customWidth="1"/>
    <col min="11" max="11" width="6.5" bestFit="1" customWidth="1"/>
    <col min="12" max="12" width="4.5" customWidth="1"/>
    <col min="13" max="13" width="3.625" customWidth="1"/>
    <col min="14" max="14" width="4.5" customWidth="1"/>
    <col min="15" max="16" width="3.625" customWidth="1"/>
    <col min="17" max="17" width="5.25" customWidth="1"/>
  </cols>
  <sheetData>
    <row r="1" spans="1:17" s="65" customFormat="1" ht="17.25">
      <c r="A1" s="65" t="s">
        <v>24</v>
      </c>
      <c r="J1" s="65" t="s">
        <v>26</v>
      </c>
      <c r="K1" s="66" t="s">
        <v>27</v>
      </c>
      <c r="M1" s="65" t="s">
        <v>28</v>
      </c>
      <c r="O1" s="65" t="s">
        <v>14</v>
      </c>
      <c r="Q1" s="65" t="s">
        <v>12</v>
      </c>
    </row>
    <row r="2" spans="1:17" s="65" customFormat="1" ht="17.25">
      <c r="A2" s="65" t="s">
        <v>25</v>
      </c>
    </row>
    <row r="3" spans="1:17" s="65" customFormat="1" ht="17.25">
      <c r="A3" s="65" t="s">
        <v>41</v>
      </c>
    </row>
    <row r="5" spans="1:17" ht="36.75" customHeight="1">
      <c r="C5" s="481" t="s">
        <v>29</v>
      </c>
      <c r="D5" s="481"/>
      <c r="E5" s="481"/>
      <c r="F5" s="481"/>
      <c r="G5" s="481"/>
      <c r="H5" s="481"/>
    </row>
    <row r="7" spans="1:17" s="64" customFormat="1" ht="30" customHeight="1">
      <c r="A7" s="59" t="s">
        <v>30</v>
      </c>
      <c r="B7" s="60"/>
      <c r="C7" s="61" t="s">
        <v>14</v>
      </c>
      <c r="D7" s="61"/>
      <c r="E7" s="62" t="s">
        <v>12</v>
      </c>
      <c r="F7" s="60"/>
      <c r="G7" s="63" t="s">
        <v>31</v>
      </c>
      <c r="H7" s="62"/>
      <c r="I7" s="478" t="s">
        <v>32</v>
      </c>
      <c r="J7" s="479"/>
      <c r="K7" s="479"/>
      <c r="L7" s="479"/>
      <c r="M7" s="479"/>
      <c r="N7" s="479"/>
      <c r="O7" s="479"/>
      <c r="P7" s="479"/>
      <c r="Q7" s="480"/>
    </row>
    <row r="8" spans="1:17" ht="30" customHeight="1">
      <c r="A8" s="67" t="s">
        <v>33</v>
      </c>
    </row>
    <row r="9" spans="1:17" ht="30" customHeight="1">
      <c r="A9" s="473" t="s">
        <v>34</v>
      </c>
      <c r="B9" s="473"/>
      <c r="C9" s="473"/>
      <c r="D9" s="473"/>
      <c r="E9" s="473"/>
      <c r="F9" s="473"/>
      <c r="G9" s="473"/>
      <c r="H9" s="473"/>
      <c r="I9" s="473"/>
      <c r="J9" s="473"/>
      <c r="K9" s="473"/>
      <c r="L9" s="473"/>
      <c r="M9" s="473"/>
      <c r="N9" s="473"/>
      <c r="O9" s="473"/>
      <c r="P9" s="473"/>
      <c r="Q9" s="473"/>
    </row>
    <row r="10" spans="1:17" ht="30" customHeight="1">
      <c r="A10" s="67" t="s">
        <v>37</v>
      </c>
      <c r="B10" s="52"/>
      <c r="C10" s="52" t="s">
        <v>14</v>
      </c>
      <c r="D10" s="52"/>
      <c r="E10" s="52" t="s">
        <v>12</v>
      </c>
      <c r="F10" s="474" t="s">
        <v>35</v>
      </c>
      <c r="G10" s="474"/>
      <c r="H10" s="474"/>
      <c r="I10" s="474"/>
      <c r="J10" s="474"/>
      <c r="K10" s="474"/>
      <c r="L10" s="474"/>
      <c r="M10" s="474"/>
      <c r="N10" s="474"/>
      <c r="O10" s="474"/>
      <c r="P10" s="474"/>
      <c r="Q10" s="474"/>
    </row>
    <row r="11" spans="1:17" ht="30" customHeight="1">
      <c r="A11" s="473" t="s">
        <v>36</v>
      </c>
      <c r="B11" s="473"/>
      <c r="C11" s="473"/>
      <c r="D11" s="473"/>
      <c r="E11" s="473"/>
      <c r="F11" s="473"/>
      <c r="G11" s="473"/>
      <c r="H11" s="473"/>
      <c r="I11" s="473"/>
      <c r="J11" s="473"/>
      <c r="K11" s="473"/>
      <c r="L11" s="473"/>
      <c r="M11" s="473"/>
      <c r="N11" s="473"/>
      <c r="O11" s="473"/>
      <c r="P11" s="473"/>
      <c r="Q11" s="473"/>
    </row>
    <row r="12" spans="1:17" ht="30" customHeight="1"/>
    <row r="13" spans="1:17" ht="30" customHeight="1">
      <c r="A13" s="59" t="s">
        <v>30</v>
      </c>
      <c r="B13" s="60"/>
      <c r="C13" s="61" t="s">
        <v>14</v>
      </c>
      <c r="D13" s="61"/>
      <c r="E13" s="62" t="s">
        <v>12</v>
      </c>
      <c r="F13" s="60"/>
      <c r="G13" s="63" t="s">
        <v>31</v>
      </c>
      <c r="H13" s="62"/>
      <c r="I13" s="478" t="s">
        <v>32</v>
      </c>
      <c r="J13" s="479"/>
      <c r="K13" s="479"/>
      <c r="L13" s="479"/>
      <c r="M13" s="479"/>
      <c r="N13" s="479"/>
      <c r="O13" s="479"/>
      <c r="P13" s="479"/>
      <c r="Q13" s="480"/>
    </row>
    <row r="14" spans="1:17" ht="30" customHeight="1">
      <c r="A14" s="67" t="s">
        <v>33</v>
      </c>
    </row>
    <row r="15" spans="1:17" ht="30" customHeight="1">
      <c r="A15" s="473" t="s">
        <v>34</v>
      </c>
      <c r="B15" s="473"/>
      <c r="C15" s="473"/>
      <c r="D15" s="473"/>
      <c r="E15" s="473"/>
      <c r="F15" s="473"/>
      <c r="G15" s="473"/>
      <c r="H15" s="473"/>
      <c r="I15" s="473"/>
      <c r="J15" s="473"/>
      <c r="K15" s="473"/>
      <c r="L15" s="473"/>
      <c r="M15" s="473"/>
      <c r="N15" s="473"/>
      <c r="O15" s="473"/>
      <c r="P15" s="473"/>
      <c r="Q15" s="473"/>
    </row>
    <row r="16" spans="1:17" ht="30" customHeight="1">
      <c r="A16" s="67" t="s">
        <v>37</v>
      </c>
      <c r="B16" s="52"/>
      <c r="C16" s="52" t="s">
        <v>14</v>
      </c>
      <c r="D16" s="52"/>
      <c r="E16" s="52" t="s">
        <v>12</v>
      </c>
      <c r="F16" s="474" t="s">
        <v>35</v>
      </c>
      <c r="G16" s="474"/>
      <c r="H16" s="474"/>
      <c r="I16" s="474"/>
      <c r="J16" s="474"/>
      <c r="K16" s="474"/>
      <c r="L16" s="474"/>
      <c r="M16" s="474"/>
      <c r="N16" s="474"/>
      <c r="O16" s="474"/>
      <c r="P16" s="474"/>
      <c r="Q16" s="474"/>
    </row>
    <row r="17" spans="1:17" ht="30" customHeight="1">
      <c r="A17" s="473" t="s">
        <v>36</v>
      </c>
      <c r="B17" s="473"/>
      <c r="C17" s="473"/>
      <c r="D17" s="473"/>
      <c r="E17" s="473"/>
      <c r="F17" s="473"/>
      <c r="G17" s="473"/>
      <c r="H17" s="473"/>
      <c r="I17" s="473"/>
      <c r="J17" s="473"/>
      <c r="K17" s="473"/>
      <c r="L17" s="473"/>
      <c r="M17" s="473"/>
      <c r="N17" s="473"/>
      <c r="O17" s="473"/>
      <c r="P17" s="473"/>
      <c r="Q17" s="473"/>
    </row>
    <row r="18" spans="1:17" ht="23.25" customHeight="1"/>
    <row r="19" spans="1:17" ht="36.75" customHeight="1">
      <c r="A19" s="68" t="s">
        <v>38</v>
      </c>
      <c r="B19" s="475"/>
      <c r="C19" s="475"/>
      <c r="D19" s="475"/>
      <c r="E19" s="475"/>
      <c r="F19" s="475"/>
      <c r="G19" s="475"/>
      <c r="H19" s="476" t="s">
        <v>39</v>
      </c>
      <c r="I19" s="477"/>
      <c r="J19" s="475"/>
      <c r="K19" s="475"/>
      <c r="L19" s="475"/>
      <c r="M19" s="475"/>
      <c r="N19" s="475"/>
      <c r="O19" s="475"/>
      <c r="P19" s="475"/>
      <c r="Q19" s="475"/>
    </row>
    <row r="20" spans="1:17" ht="33" customHeight="1">
      <c r="H20" s="472" t="s">
        <v>82</v>
      </c>
      <c r="I20" s="472"/>
      <c r="J20" s="472"/>
      <c r="K20" s="472"/>
      <c r="L20" s="472"/>
      <c r="M20" s="472"/>
      <c r="N20" s="472"/>
      <c r="O20" s="472"/>
      <c r="P20" s="472"/>
      <c r="Q20" s="472"/>
    </row>
  </sheetData>
  <mergeCells count="13">
    <mergeCell ref="I7:Q7"/>
    <mergeCell ref="I13:Q13"/>
    <mergeCell ref="C5:H5"/>
    <mergeCell ref="A11:Q11"/>
    <mergeCell ref="A9:Q9"/>
    <mergeCell ref="F10:Q10"/>
    <mergeCell ref="H20:Q20"/>
    <mergeCell ref="A15:Q15"/>
    <mergeCell ref="F16:Q16"/>
    <mergeCell ref="A17:Q17"/>
    <mergeCell ref="B19:G19"/>
    <mergeCell ref="H19:I19"/>
    <mergeCell ref="J19:Q19"/>
  </mergeCells>
  <phoneticPr fontId="3"/>
  <pageMargins left="0.55000000000000004" right="0.36" top="0.69" bottom="0.56999999999999995" header="0.51200000000000001" footer="0.42"/>
  <pageSetup paperSize="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sheetPr codeName="Sheet18"/>
  <dimension ref="A2:K15"/>
  <sheetViews>
    <sheetView workbookViewId="0"/>
  </sheetViews>
  <sheetFormatPr defaultRowHeight="13.5"/>
  <cols>
    <col min="1" max="1" width="4.125" style="20" customWidth="1"/>
    <col min="2" max="5" width="4.25" style="20" customWidth="1"/>
    <col min="6" max="10" width="5.625" style="3" customWidth="1"/>
    <col min="11" max="11" width="7.625" style="4" customWidth="1"/>
    <col min="12" max="16384" width="9" style="4"/>
  </cols>
  <sheetData>
    <row r="2" spans="1:11" ht="14.25" thickBot="1">
      <c r="A2" s="2"/>
      <c r="B2" s="2"/>
      <c r="C2" s="2"/>
      <c r="D2" s="2"/>
      <c r="E2" s="2"/>
    </row>
    <row r="3" spans="1:11" s="29" customFormat="1" ht="15.75" customHeight="1">
      <c r="A3" s="30"/>
      <c r="B3" s="27"/>
      <c r="C3" s="25" t="s">
        <v>0</v>
      </c>
      <c r="D3" s="26" t="s">
        <v>4</v>
      </c>
      <c r="E3" s="26" t="s">
        <v>1</v>
      </c>
      <c r="F3" s="26" t="s">
        <v>2</v>
      </c>
      <c r="G3" s="26" t="s">
        <v>6</v>
      </c>
      <c r="H3" s="28" t="s">
        <v>7</v>
      </c>
      <c r="I3" s="5" t="s">
        <v>3</v>
      </c>
      <c r="J3" s="5" t="s">
        <v>9</v>
      </c>
      <c r="K3" s="5" t="s">
        <v>8</v>
      </c>
    </row>
    <row r="4" spans="1:11">
      <c r="A4" s="31"/>
      <c r="B4" s="6">
        <v>1</v>
      </c>
      <c r="C4" s="21">
        <v>0</v>
      </c>
      <c r="D4" s="22">
        <v>0</v>
      </c>
      <c r="E4" s="22">
        <v>0</v>
      </c>
      <c r="F4" s="7">
        <v>0</v>
      </c>
      <c r="G4" s="7">
        <v>0</v>
      </c>
      <c r="H4" s="8">
        <v>0</v>
      </c>
      <c r="I4" s="9"/>
      <c r="J4" s="9">
        <f>SUM(C4:E4)</f>
        <v>0</v>
      </c>
      <c r="K4" s="9">
        <f>IF(SUM(C4:E4)=0,-1,F4)</f>
        <v>-1</v>
      </c>
    </row>
    <row r="5" spans="1:11">
      <c r="A5" s="31"/>
      <c r="B5" s="6">
        <v>2</v>
      </c>
      <c r="C5" s="21">
        <v>0</v>
      </c>
      <c r="D5" s="22">
        <v>0</v>
      </c>
      <c r="E5" s="22">
        <v>0</v>
      </c>
      <c r="F5" s="10">
        <v>0</v>
      </c>
      <c r="G5" s="10">
        <v>0</v>
      </c>
      <c r="H5" s="11">
        <v>0</v>
      </c>
      <c r="I5" s="12"/>
      <c r="J5" s="12">
        <f t="shared" ref="J5:J15" si="0">SUM(C5:E5)</f>
        <v>0</v>
      </c>
      <c r="K5" s="12">
        <f t="shared" ref="K5:K15" si="1">IF(SUM(C5:E5)=0,-1,F5)</f>
        <v>-1</v>
      </c>
    </row>
    <row r="6" spans="1:11">
      <c r="A6" s="31"/>
      <c r="B6" s="6">
        <v>3</v>
      </c>
      <c r="C6" s="21">
        <v>0</v>
      </c>
      <c r="D6" s="22">
        <v>0</v>
      </c>
      <c r="E6" s="22">
        <v>0</v>
      </c>
      <c r="F6" s="10">
        <v>0</v>
      </c>
      <c r="G6" s="10">
        <v>0</v>
      </c>
      <c r="H6" s="11">
        <v>0</v>
      </c>
      <c r="I6" s="12"/>
      <c r="J6" s="12">
        <f t="shared" si="0"/>
        <v>0</v>
      </c>
      <c r="K6" s="12">
        <f t="shared" si="1"/>
        <v>-1</v>
      </c>
    </row>
    <row r="7" spans="1:11">
      <c r="A7" s="31"/>
      <c r="B7" s="6">
        <v>4</v>
      </c>
      <c r="C7" s="21">
        <v>0</v>
      </c>
      <c r="D7" s="22">
        <v>0</v>
      </c>
      <c r="E7" s="22">
        <v>0</v>
      </c>
      <c r="F7" s="13">
        <v>0</v>
      </c>
      <c r="G7" s="13">
        <v>0</v>
      </c>
      <c r="H7" s="14">
        <v>0</v>
      </c>
      <c r="I7" s="15"/>
      <c r="J7" s="15">
        <f t="shared" si="0"/>
        <v>0</v>
      </c>
      <c r="K7" s="12">
        <f t="shared" si="1"/>
        <v>-1</v>
      </c>
    </row>
    <row r="8" spans="1:11">
      <c r="A8" s="31"/>
      <c r="B8" s="6">
        <v>5</v>
      </c>
      <c r="C8" s="21">
        <v>0</v>
      </c>
      <c r="D8" s="22">
        <v>0</v>
      </c>
      <c r="E8" s="22">
        <v>0</v>
      </c>
      <c r="F8" s="13">
        <v>0</v>
      </c>
      <c r="G8" s="13">
        <v>0</v>
      </c>
      <c r="H8" s="14">
        <v>0</v>
      </c>
      <c r="I8" s="15"/>
      <c r="J8" s="15">
        <f t="shared" si="0"/>
        <v>0</v>
      </c>
      <c r="K8" s="15">
        <f t="shared" si="1"/>
        <v>-1</v>
      </c>
    </row>
    <row r="9" spans="1:11">
      <c r="A9" s="31"/>
      <c r="B9" s="6">
        <v>6</v>
      </c>
      <c r="C9" s="21">
        <v>0</v>
      </c>
      <c r="D9" s="22">
        <v>0</v>
      </c>
      <c r="E9" s="22">
        <v>0</v>
      </c>
      <c r="F9" s="13">
        <v>0</v>
      </c>
      <c r="G9" s="13">
        <v>0</v>
      </c>
      <c r="H9" s="14">
        <v>0</v>
      </c>
      <c r="I9" s="15"/>
      <c r="J9" s="15">
        <f t="shared" si="0"/>
        <v>0</v>
      </c>
      <c r="K9" s="15">
        <f t="shared" si="1"/>
        <v>-1</v>
      </c>
    </row>
    <row r="10" spans="1:11">
      <c r="A10" s="31"/>
      <c r="B10" s="6">
        <v>7</v>
      </c>
      <c r="C10" s="21">
        <v>0</v>
      </c>
      <c r="D10" s="22">
        <v>0</v>
      </c>
      <c r="E10" s="22">
        <v>0</v>
      </c>
      <c r="F10" s="13">
        <v>0</v>
      </c>
      <c r="G10" s="13">
        <v>0</v>
      </c>
      <c r="H10" s="14">
        <v>0</v>
      </c>
      <c r="I10" s="15"/>
      <c r="J10" s="15">
        <f t="shared" si="0"/>
        <v>0</v>
      </c>
      <c r="K10" s="15">
        <f t="shared" si="1"/>
        <v>-1</v>
      </c>
    </row>
    <row r="11" spans="1:11">
      <c r="A11" s="31"/>
      <c r="B11" s="6">
        <v>8</v>
      </c>
      <c r="C11" s="21">
        <v>0</v>
      </c>
      <c r="D11" s="22">
        <v>0</v>
      </c>
      <c r="E11" s="22">
        <v>0</v>
      </c>
      <c r="F11" s="13">
        <v>0</v>
      </c>
      <c r="G11" s="13">
        <v>0</v>
      </c>
      <c r="H11" s="14">
        <v>0</v>
      </c>
      <c r="I11" s="15"/>
      <c r="J11" s="15">
        <f t="shared" si="0"/>
        <v>0</v>
      </c>
      <c r="K11" s="15">
        <f t="shared" si="1"/>
        <v>-1</v>
      </c>
    </row>
    <row r="12" spans="1:11">
      <c r="A12" s="31"/>
      <c r="B12" s="6">
        <v>9</v>
      </c>
      <c r="C12" s="21">
        <v>0</v>
      </c>
      <c r="D12" s="22">
        <v>0</v>
      </c>
      <c r="E12" s="22">
        <v>0</v>
      </c>
      <c r="F12" s="13">
        <v>0</v>
      </c>
      <c r="G12" s="13">
        <v>0</v>
      </c>
      <c r="H12" s="14">
        <v>0</v>
      </c>
      <c r="I12" s="15"/>
      <c r="J12" s="15">
        <f t="shared" si="0"/>
        <v>0</v>
      </c>
      <c r="K12" s="15">
        <f t="shared" si="1"/>
        <v>-1</v>
      </c>
    </row>
    <row r="13" spans="1:11">
      <c r="A13" s="31"/>
      <c r="B13" s="6">
        <v>10</v>
      </c>
      <c r="C13" s="21">
        <v>0</v>
      </c>
      <c r="D13" s="22">
        <v>0</v>
      </c>
      <c r="E13" s="22">
        <v>0</v>
      </c>
      <c r="F13" s="13">
        <v>0</v>
      </c>
      <c r="G13" s="13">
        <v>0</v>
      </c>
      <c r="H13" s="14">
        <v>0</v>
      </c>
      <c r="I13" s="15"/>
      <c r="J13" s="15">
        <f t="shared" si="0"/>
        <v>0</v>
      </c>
      <c r="K13" s="15">
        <f t="shared" si="1"/>
        <v>-1</v>
      </c>
    </row>
    <row r="14" spans="1:11">
      <c r="A14" s="31"/>
      <c r="B14" s="6">
        <v>11</v>
      </c>
      <c r="C14" s="21">
        <v>0</v>
      </c>
      <c r="D14" s="22">
        <v>0</v>
      </c>
      <c r="E14" s="22">
        <v>0</v>
      </c>
      <c r="F14" s="13">
        <v>0</v>
      </c>
      <c r="G14" s="13">
        <v>0</v>
      </c>
      <c r="H14" s="14">
        <v>0</v>
      </c>
      <c r="I14" s="15"/>
      <c r="J14" s="15">
        <f t="shared" si="0"/>
        <v>0</v>
      </c>
      <c r="K14" s="15">
        <f t="shared" si="1"/>
        <v>-1</v>
      </c>
    </row>
    <row r="15" spans="1:11" ht="14.25" thickBot="1">
      <c r="A15" s="32"/>
      <c r="B15" s="16"/>
      <c r="C15" s="23"/>
      <c r="D15" s="24"/>
      <c r="E15" s="24"/>
      <c r="F15" s="17"/>
      <c r="G15" s="17"/>
      <c r="H15" s="18"/>
      <c r="I15" s="19"/>
      <c r="J15" s="19">
        <f t="shared" si="0"/>
        <v>0</v>
      </c>
      <c r="K15" s="19">
        <f t="shared" si="1"/>
        <v>-1</v>
      </c>
    </row>
  </sheetData>
  <phoneticPr fontId="3"/>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dimension ref="B2:N24"/>
  <sheetViews>
    <sheetView showGridLines="0" workbookViewId="0">
      <selection sqref="A1:N1048576"/>
    </sheetView>
  </sheetViews>
  <sheetFormatPr defaultRowHeight="13.5"/>
  <cols>
    <col min="1" max="1" width="2.375" customWidth="1"/>
    <col min="2" max="2" width="3.5" bestFit="1" customWidth="1"/>
    <col min="3" max="3" width="2.5" bestFit="1" customWidth="1"/>
    <col min="4" max="4" width="3.375" bestFit="1" customWidth="1"/>
    <col min="5" max="5" width="3.5" bestFit="1" customWidth="1"/>
    <col min="6" max="6" width="3.375" bestFit="1" customWidth="1"/>
    <col min="7" max="7" width="4.625" bestFit="1" customWidth="1"/>
    <col min="8" max="8" width="14.375" bestFit="1" customWidth="1"/>
    <col min="9" max="9" width="5.875" bestFit="1" customWidth="1"/>
    <col min="10" max="10" width="26.125" bestFit="1" customWidth="1"/>
    <col min="11" max="11" width="0" hidden="1" customWidth="1"/>
    <col min="12" max="12" width="2.5" bestFit="1" customWidth="1"/>
    <col min="13" max="13" width="0" hidden="1" customWidth="1"/>
    <col min="14" max="14" width="26.25" bestFit="1" customWidth="1"/>
  </cols>
  <sheetData>
    <row r="2" spans="2:14">
      <c r="B2" t="s">
        <v>180</v>
      </c>
    </row>
    <row r="4" spans="2:14">
      <c r="B4" t="s">
        <v>178</v>
      </c>
    </row>
    <row r="5" spans="2:14">
      <c r="B5" s="98">
        <v>29</v>
      </c>
      <c r="C5" s="281">
        <v>7</v>
      </c>
      <c r="D5" s="282" t="s">
        <v>14</v>
      </c>
      <c r="E5" s="283">
        <v>16</v>
      </c>
      <c r="F5" s="282" t="s">
        <v>12</v>
      </c>
      <c r="G5" s="284">
        <v>42932</v>
      </c>
      <c r="H5" s="103" t="s">
        <v>145</v>
      </c>
      <c r="I5" s="104" t="s">
        <v>173</v>
      </c>
      <c r="J5" s="276" t="s">
        <v>158</v>
      </c>
      <c r="K5" s="277" t="s">
        <v>106</v>
      </c>
      <c r="L5" s="278" t="s">
        <v>5</v>
      </c>
      <c r="M5" s="279" t="s">
        <v>106</v>
      </c>
      <c r="N5" s="280" t="s">
        <v>160</v>
      </c>
    </row>
    <row r="6" spans="2:14">
      <c r="B6" s="108">
        <v>28</v>
      </c>
      <c r="C6" s="285">
        <v>7</v>
      </c>
      <c r="D6" s="286" t="s">
        <v>16</v>
      </c>
      <c r="E6" s="287">
        <v>16</v>
      </c>
      <c r="F6" s="286" t="s">
        <v>17</v>
      </c>
      <c r="G6" s="288">
        <v>42932</v>
      </c>
      <c r="H6" s="113" t="s">
        <v>145</v>
      </c>
      <c r="I6" s="114" t="s">
        <v>165</v>
      </c>
      <c r="J6" s="138" t="s">
        <v>100</v>
      </c>
      <c r="K6" s="225" t="s">
        <v>106</v>
      </c>
      <c r="L6" s="110" t="s">
        <v>5</v>
      </c>
      <c r="M6" s="226" t="s">
        <v>106</v>
      </c>
      <c r="N6" s="92" t="s">
        <v>99</v>
      </c>
    </row>
    <row r="7" spans="2:14">
      <c r="B7" s="249">
        <v>8</v>
      </c>
      <c r="C7" s="289">
        <v>7</v>
      </c>
      <c r="D7" s="290" t="s">
        <v>16</v>
      </c>
      <c r="E7" s="291">
        <v>16</v>
      </c>
      <c r="F7" s="290" t="s">
        <v>17</v>
      </c>
      <c r="G7" s="292">
        <v>42932</v>
      </c>
      <c r="H7" s="250" t="s">
        <v>145</v>
      </c>
      <c r="I7" s="251" t="s">
        <v>176</v>
      </c>
      <c r="J7" s="271" t="s">
        <v>163</v>
      </c>
      <c r="K7" s="272" t="s">
        <v>106</v>
      </c>
      <c r="L7" s="273" t="s">
        <v>5</v>
      </c>
      <c r="M7" s="274" t="s">
        <v>106</v>
      </c>
      <c r="N7" s="275" t="s">
        <v>159</v>
      </c>
    </row>
    <row r="9" spans="2:14">
      <c r="B9" s="98">
        <v>7</v>
      </c>
      <c r="C9" s="297">
        <v>10</v>
      </c>
      <c r="D9" s="298" t="s">
        <v>16</v>
      </c>
      <c r="E9" s="299">
        <v>15</v>
      </c>
      <c r="F9" s="298" t="s">
        <v>17</v>
      </c>
      <c r="G9" s="300">
        <v>43023</v>
      </c>
      <c r="H9" s="103" t="s">
        <v>145</v>
      </c>
      <c r="I9" s="104" t="s">
        <v>153</v>
      </c>
      <c r="J9" s="266" t="s">
        <v>163</v>
      </c>
      <c r="K9" s="267" t="s">
        <v>106</v>
      </c>
      <c r="L9" s="268" t="s">
        <v>5</v>
      </c>
      <c r="M9" s="269" t="s">
        <v>106</v>
      </c>
      <c r="N9" s="270" t="s">
        <v>160</v>
      </c>
    </row>
    <row r="10" spans="2:14">
      <c r="B10" s="140">
        <v>31</v>
      </c>
      <c r="C10" s="301">
        <v>10</v>
      </c>
      <c r="D10" s="302" t="s">
        <v>16</v>
      </c>
      <c r="E10" s="303">
        <v>15</v>
      </c>
      <c r="F10" s="302" t="s">
        <v>17</v>
      </c>
      <c r="G10" s="304">
        <v>43023</v>
      </c>
      <c r="H10" s="145" t="s">
        <v>145</v>
      </c>
      <c r="I10" s="146" t="s">
        <v>170</v>
      </c>
      <c r="J10" s="245" t="s">
        <v>158</v>
      </c>
      <c r="K10" s="246" t="s">
        <v>106</v>
      </c>
      <c r="L10" s="244" t="s">
        <v>5</v>
      </c>
      <c r="M10" s="247" t="s">
        <v>106</v>
      </c>
      <c r="N10" s="248" t="s">
        <v>162</v>
      </c>
    </row>
    <row r="11" spans="2:14">
      <c r="B11" s="157">
        <v>44</v>
      </c>
      <c r="C11" s="305">
        <v>10</v>
      </c>
      <c r="D11" s="306" t="s">
        <v>16</v>
      </c>
      <c r="E11" s="307">
        <v>15</v>
      </c>
      <c r="F11" s="306" t="s">
        <v>17</v>
      </c>
      <c r="G11" s="308">
        <v>43023</v>
      </c>
      <c r="H11" s="161" t="s">
        <v>145</v>
      </c>
      <c r="I11" s="162" t="s">
        <v>155</v>
      </c>
      <c r="J11" s="139" t="s">
        <v>101</v>
      </c>
      <c r="K11" s="133" t="s">
        <v>106</v>
      </c>
      <c r="L11" s="134" t="s">
        <v>5</v>
      </c>
      <c r="M11" s="135" t="s">
        <v>106</v>
      </c>
      <c r="N11" s="136" t="s">
        <v>100</v>
      </c>
    </row>
    <row r="13" spans="2:14">
      <c r="B13" s="482" t="s">
        <v>177</v>
      </c>
      <c r="C13" s="482"/>
      <c r="D13" s="482"/>
      <c r="E13" s="482"/>
      <c r="F13" s="482"/>
      <c r="G13" s="482"/>
      <c r="H13" s="482"/>
      <c r="I13" s="482"/>
      <c r="J13" s="482"/>
      <c r="K13" s="482"/>
      <c r="L13" s="482"/>
      <c r="M13" s="482"/>
      <c r="N13" s="482"/>
    </row>
    <row r="14" spans="2:14">
      <c r="B14" s="482"/>
      <c r="C14" s="482"/>
      <c r="D14" s="482"/>
      <c r="E14" s="482"/>
      <c r="F14" s="482"/>
      <c r="G14" s="482"/>
      <c r="H14" s="482"/>
      <c r="I14" s="482"/>
      <c r="J14" s="482"/>
      <c r="K14" s="482"/>
      <c r="L14" s="482"/>
      <c r="M14" s="482"/>
      <c r="N14" s="482"/>
    </row>
    <row r="15" spans="2:14">
      <c r="B15" t="s">
        <v>179</v>
      </c>
    </row>
    <row r="16" spans="2:14">
      <c r="B16" s="98">
        <v>7</v>
      </c>
      <c r="C16" s="281">
        <v>7</v>
      </c>
      <c r="D16" s="282" t="s">
        <v>16</v>
      </c>
      <c r="E16" s="283">
        <v>16</v>
      </c>
      <c r="F16" s="282" t="s">
        <v>17</v>
      </c>
      <c r="G16" s="284">
        <v>42932</v>
      </c>
      <c r="H16" s="103" t="s">
        <v>145</v>
      </c>
      <c r="I16" s="104" t="s">
        <v>174</v>
      </c>
      <c r="J16" s="266" t="s">
        <v>163</v>
      </c>
      <c r="K16" s="267" t="s">
        <v>106</v>
      </c>
      <c r="L16" s="268" t="s">
        <v>5</v>
      </c>
      <c r="M16" s="269" t="s">
        <v>106</v>
      </c>
      <c r="N16" s="270" t="s">
        <v>160</v>
      </c>
    </row>
    <row r="17" spans="2:14">
      <c r="B17" s="157">
        <v>28</v>
      </c>
      <c r="C17" s="293">
        <v>7</v>
      </c>
      <c r="D17" s="294" t="s">
        <v>16</v>
      </c>
      <c r="E17" s="295">
        <v>16</v>
      </c>
      <c r="F17" s="294" t="s">
        <v>17</v>
      </c>
      <c r="G17" s="296">
        <v>42932</v>
      </c>
      <c r="H17" s="161" t="s">
        <v>145</v>
      </c>
      <c r="I17" s="162" t="s">
        <v>175</v>
      </c>
      <c r="J17" s="139" t="s">
        <v>100</v>
      </c>
      <c r="K17" s="133" t="s">
        <v>106</v>
      </c>
      <c r="L17" s="134" t="s">
        <v>5</v>
      </c>
      <c r="M17" s="135" t="s">
        <v>106</v>
      </c>
      <c r="N17" s="136" t="s">
        <v>99</v>
      </c>
    </row>
    <row r="18" spans="2:14">
      <c r="B18" s="258"/>
      <c r="C18" s="258"/>
      <c r="D18" s="258"/>
      <c r="E18" s="258"/>
      <c r="F18" s="258"/>
      <c r="G18" s="258"/>
      <c r="H18" s="258"/>
      <c r="I18" s="258"/>
      <c r="J18" s="258"/>
      <c r="K18" s="258"/>
      <c r="L18" s="258"/>
      <c r="M18" s="258"/>
      <c r="N18" s="258"/>
    </row>
    <row r="19" spans="2:14">
      <c r="B19" s="98">
        <v>29</v>
      </c>
      <c r="C19" s="297">
        <v>10</v>
      </c>
      <c r="D19" s="298" t="s">
        <v>14</v>
      </c>
      <c r="E19" s="299">
        <v>15</v>
      </c>
      <c r="F19" s="298" t="s">
        <v>12</v>
      </c>
      <c r="G19" s="300">
        <v>43023</v>
      </c>
      <c r="H19" s="103" t="s">
        <v>146</v>
      </c>
      <c r="I19" s="104" t="s">
        <v>153</v>
      </c>
      <c r="J19" s="276" t="s">
        <v>158</v>
      </c>
      <c r="K19" s="277" t="s">
        <v>106</v>
      </c>
      <c r="L19" s="278" t="s">
        <v>5</v>
      </c>
      <c r="M19" s="279" t="s">
        <v>106</v>
      </c>
      <c r="N19" s="280" t="s">
        <v>160</v>
      </c>
    </row>
    <row r="20" spans="2:14">
      <c r="B20" s="249">
        <v>8</v>
      </c>
      <c r="C20" s="309">
        <v>10</v>
      </c>
      <c r="D20" s="310" t="s">
        <v>16</v>
      </c>
      <c r="E20" s="311">
        <v>15</v>
      </c>
      <c r="F20" s="310" t="s">
        <v>17</v>
      </c>
      <c r="G20" s="312">
        <v>43023</v>
      </c>
      <c r="H20" s="250" t="s">
        <v>146</v>
      </c>
      <c r="I20" s="251" t="s">
        <v>170</v>
      </c>
      <c r="J20" s="271" t="s">
        <v>163</v>
      </c>
      <c r="K20" s="272" t="s">
        <v>106</v>
      </c>
      <c r="L20" s="273" t="s">
        <v>5</v>
      </c>
      <c r="M20" s="274" t="s">
        <v>106</v>
      </c>
      <c r="N20" s="275" t="s">
        <v>159</v>
      </c>
    </row>
    <row r="21" spans="2:14">
      <c r="B21" s="258"/>
      <c r="C21" s="258"/>
      <c r="D21" s="258"/>
      <c r="E21" s="258"/>
      <c r="F21" s="258"/>
      <c r="G21" s="258"/>
      <c r="H21" s="258"/>
      <c r="I21" s="258"/>
      <c r="J21" s="258"/>
      <c r="K21" s="258"/>
      <c r="L21" s="258"/>
      <c r="M21" s="258"/>
      <c r="N21" s="258"/>
    </row>
    <row r="22" spans="2:14">
      <c r="B22" s="259">
        <v>31</v>
      </c>
      <c r="C22" s="260" t="s">
        <v>106</v>
      </c>
      <c r="D22" s="261" t="s">
        <v>16</v>
      </c>
      <c r="E22" s="262" t="s">
        <v>106</v>
      </c>
      <c r="F22" s="261" t="s">
        <v>17</v>
      </c>
      <c r="G22" s="263"/>
      <c r="H22" s="264"/>
      <c r="I22" s="265"/>
      <c r="J22" s="254" t="s">
        <v>158</v>
      </c>
      <c r="K22" s="255" t="s">
        <v>106</v>
      </c>
      <c r="L22" s="253" t="s">
        <v>5</v>
      </c>
      <c r="M22" s="256" t="s">
        <v>106</v>
      </c>
      <c r="N22" s="257" t="s">
        <v>162</v>
      </c>
    </row>
    <row r="24" spans="2:14">
      <c r="B24" t="s">
        <v>181</v>
      </c>
    </row>
  </sheetData>
  <mergeCells count="1">
    <mergeCell ref="B13:N14"/>
  </mergeCells>
  <phoneticPr fontId="3"/>
  <conditionalFormatting sqref="J16:N17">
    <cfRule type="cellIs" dxfId="4" priority="5" stopIfTrue="1" operator="equal">
      <formula>$B$5</formula>
    </cfRule>
  </conditionalFormatting>
  <conditionalFormatting sqref="J19:N20">
    <cfRule type="cellIs" dxfId="3" priority="4" stopIfTrue="1" operator="equal">
      <formula>$B$5</formula>
    </cfRule>
  </conditionalFormatting>
  <conditionalFormatting sqref="J22:N22">
    <cfRule type="cellIs" dxfId="2" priority="3" stopIfTrue="1" operator="equal">
      <formula>$B$5</formula>
    </cfRule>
  </conditionalFormatting>
  <conditionalFormatting sqref="J9:N11">
    <cfRule type="cellIs" dxfId="1" priority="2" stopIfTrue="1" operator="equal">
      <formula>$B$5</formula>
    </cfRule>
  </conditionalFormatting>
  <conditionalFormatting sqref="J5:N7">
    <cfRule type="cellIs" dxfId="0" priority="1" stopIfTrue="1" operator="equal">
      <formula>$B$5</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Cブロック日程表（結果）</vt:lpstr>
      <vt:lpstr>Cブロック日程一覧</vt:lpstr>
      <vt:lpstr>Cブロック星取り表（結果）</vt:lpstr>
      <vt:lpstr>日程変更願い</vt:lpstr>
      <vt:lpstr>karakuri</vt:lpstr>
      <vt:lpstr>変更要点</vt:lpstr>
      <vt:lpstr>'Cブロック星取り表（結果）'!Print_Area</vt:lpstr>
      <vt:lpstr>Cブロック日程一覧!Print_Area</vt:lpstr>
      <vt:lpstr>'Cブロック日程表（結果）'!Print_Area</vt:lpstr>
      <vt:lpstr>'Cブロック日程表（結果）'!Print_Titles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体育</dc:creator>
  <cp:lastModifiedBy>chidamasako</cp:lastModifiedBy>
  <cp:lastPrinted>2017-11-13T23:29:52Z</cp:lastPrinted>
  <dcterms:created xsi:type="dcterms:W3CDTF">2005-09-09T09:34:06Z</dcterms:created>
  <dcterms:modified xsi:type="dcterms:W3CDTF">2018-01-06T03:29:52Z</dcterms:modified>
</cp:coreProperties>
</file>